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pivotTables/pivotTable1.xml" ContentType="application/vnd.openxmlformats-officedocument.spreadsheetml.pivotTable+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Hari\Downloads\"/>
    </mc:Choice>
  </mc:AlternateContent>
  <bookViews>
    <workbookView xWindow="0" yWindow="0" windowWidth="20490" windowHeight="6930" tabRatio="880" activeTab="1" xr2:uid="{00000000-000D-0000-FFFF-FFFF00000000}"/>
  </bookViews>
  <sheets>
    <sheet name="Report-for-RM" sheetId="19" r:id="rId1"/>
    <sheet name="Final" sheetId="7" r:id="rId2"/>
    <sheet name="Pivot" sheetId="18" r:id="rId3"/>
    <sheet name="Charter" sheetId="1" r:id="rId4"/>
    <sheet name="Fields" sheetId="2" r:id="rId5"/>
    <sheet name="CourseName" sheetId="3" r:id="rId6"/>
    <sheet name="Keywords" sheetId="4" r:id="rId7"/>
    <sheet name="Instructions" sheetId="5" r:id="rId8"/>
    <sheet name="MasterList" sheetId="6" r:id="rId9"/>
    <sheet name="HT" sheetId="8" r:id="rId10"/>
    <sheet name="JB" sheetId="9" r:id="rId11"/>
    <sheet name="RKT" sheetId="10" r:id="rId12"/>
    <sheet name="YP" sheetId="11" r:id="rId13"/>
    <sheet name="ND" sheetId="12" r:id="rId14"/>
    <sheet name="VK" sheetId="13" r:id="rId15"/>
    <sheet name="HM" sheetId="14" r:id="rId16"/>
    <sheet name="US" sheetId="15" r:id="rId17"/>
    <sheet name="MS" sheetId="16" r:id="rId18"/>
  </sheets>
  <definedNames>
    <definedName name="_xlnm._FilterDatabase" localSheetId="1" hidden="1">Final!$P$333:$P$341</definedName>
    <definedName name="_xlnm._FilterDatabase" localSheetId="9" hidden="1">HT!$A$1:$AK$1</definedName>
  </definedNames>
  <calcPr calcId="171027"/>
  <pivotCaches>
    <pivotCache cacheId="0" r:id="rId19"/>
  </pivotCaches>
</workbook>
</file>

<file path=xl/calcChain.xml><?xml version="1.0" encoding="utf-8"?>
<calcChain xmlns="http://schemas.openxmlformats.org/spreadsheetml/2006/main">
  <c r="Q21" i="16" l="1"/>
  <c r="J21" i="16"/>
  <c r="Q20" i="16"/>
  <c r="J20" i="16"/>
  <c r="Q19" i="16"/>
  <c r="J19" i="16"/>
  <c r="Q18" i="16"/>
  <c r="J18" i="16"/>
  <c r="Q17" i="16"/>
  <c r="J17" i="16"/>
  <c r="Q16" i="16"/>
  <c r="J16" i="16"/>
  <c r="Q15" i="16"/>
  <c r="J15" i="16"/>
  <c r="Q14" i="16"/>
  <c r="J14" i="16"/>
  <c r="Q13" i="16"/>
  <c r="J13" i="16"/>
  <c r="Q12" i="16"/>
  <c r="J12" i="16"/>
  <c r="Q11" i="16"/>
  <c r="J11" i="16"/>
  <c r="Q10" i="16"/>
  <c r="J10" i="16"/>
  <c r="Q9" i="16"/>
  <c r="J9" i="16"/>
  <c r="Q8" i="16"/>
  <c r="J8" i="16"/>
  <c r="Q7" i="16"/>
  <c r="J7" i="16"/>
  <c r="Q6" i="16"/>
  <c r="J6" i="16"/>
  <c r="Q5" i="16"/>
  <c r="J5" i="16"/>
  <c r="Q4" i="16"/>
  <c r="J4" i="16"/>
  <c r="Q3" i="16"/>
  <c r="J3" i="16"/>
  <c r="Q2" i="16"/>
  <c r="J2" i="16"/>
  <c r="W1" i="16"/>
  <c r="H1" i="16"/>
  <c r="C1" i="16"/>
  <c r="B1" i="16"/>
  <c r="Q17" i="15"/>
  <c r="J17" i="15"/>
  <c r="Q16" i="15"/>
  <c r="J16" i="15"/>
  <c r="Q15" i="15"/>
  <c r="J15" i="15"/>
  <c r="Q14" i="15"/>
  <c r="J14" i="15"/>
  <c r="Q13" i="15"/>
  <c r="J13" i="15"/>
  <c r="Q12" i="15"/>
  <c r="J12" i="15"/>
  <c r="Q11" i="15"/>
  <c r="J11" i="15"/>
  <c r="Q10" i="15"/>
  <c r="J10" i="15"/>
  <c r="Q9" i="15"/>
  <c r="J9" i="15"/>
  <c r="Q8" i="15"/>
  <c r="J8" i="15"/>
  <c r="Q7" i="15"/>
  <c r="J7" i="15"/>
  <c r="Q6" i="15"/>
  <c r="J6" i="15"/>
  <c r="Q5" i="15"/>
  <c r="J5" i="15"/>
  <c r="Q4" i="15"/>
  <c r="J4" i="15"/>
  <c r="Q3" i="15"/>
  <c r="J3" i="15"/>
  <c r="Q2" i="15"/>
  <c r="J2" i="15"/>
  <c r="W1" i="15"/>
  <c r="H1" i="15"/>
  <c r="C1" i="15"/>
  <c r="B1" i="15"/>
  <c r="W1" i="14"/>
  <c r="H1" i="14"/>
  <c r="C1" i="14"/>
  <c r="B1" i="14"/>
  <c r="W1" i="13"/>
  <c r="H1" i="13"/>
  <c r="C1" i="13"/>
  <c r="B1" i="13"/>
  <c r="Q16" i="12"/>
  <c r="J16" i="12"/>
  <c r="Q4" i="12"/>
  <c r="J4" i="12"/>
  <c r="W1" i="12"/>
  <c r="H1" i="12"/>
  <c r="C1" i="12"/>
  <c r="B1" i="12"/>
  <c r="W1" i="11"/>
  <c r="H1" i="11"/>
  <c r="C1" i="11"/>
  <c r="B1" i="11"/>
  <c r="O40" i="10"/>
  <c r="O39" i="10"/>
  <c r="Q38" i="10"/>
  <c r="J38" i="10"/>
  <c r="O37" i="10"/>
  <c r="Q36" i="10"/>
  <c r="J36" i="10"/>
  <c r="Q35" i="10"/>
  <c r="J35" i="10"/>
  <c r="O34" i="10"/>
  <c r="Q33" i="10"/>
  <c r="J33" i="10"/>
  <c r="O32" i="10"/>
  <c r="Q31" i="10"/>
  <c r="J31" i="10"/>
  <c r="O30" i="10"/>
  <c r="Q29" i="10"/>
  <c r="J29" i="10"/>
  <c r="O28" i="10"/>
  <c r="Q27" i="10"/>
  <c r="J27" i="10"/>
  <c r="O26" i="10"/>
  <c r="Q25" i="10"/>
  <c r="J25" i="10"/>
  <c r="O24" i="10"/>
  <c r="O23" i="10"/>
  <c r="O22" i="10"/>
  <c r="O21" i="10"/>
  <c r="Q20" i="10"/>
  <c r="J20" i="10"/>
  <c r="O19" i="10"/>
  <c r="Q18" i="10"/>
  <c r="J18" i="10"/>
  <c r="O17" i="10"/>
  <c r="O16" i="10"/>
  <c r="Q15" i="10"/>
  <c r="J15" i="10"/>
  <c r="O14" i="10"/>
  <c r="O13" i="10"/>
  <c r="O12" i="10"/>
  <c r="O11" i="10"/>
  <c r="O10" i="10"/>
  <c r="O9" i="10"/>
  <c r="O8" i="10"/>
  <c r="O7" i="10"/>
  <c r="O6" i="10"/>
  <c r="O5" i="10"/>
  <c r="O4" i="10"/>
  <c r="O3" i="10"/>
  <c r="Q2" i="10"/>
  <c r="J2" i="10"/>
  <c r="W1" i="10"/>
  <c r="H1" i="10"/>
  <c r="C1" i="10"/>
  <c r="B1" i="10"/>
  <c r="O82" i="9"/>
  <c r="O81" i="9"/>
  <c r="O80" i="9"/>
  <c r="O79" i="9"/>
  <c r="Q78" i="9"/>
  <c r="J78" i="9"/>
  <c r="O77" i="9"/>
  <c r="O76" i="9"/>
  <c r="Q75" i="9"/>
  <c r="J75" i="9"/>
  <c r="O74" i="9"/>
  <c r="Q73" i="9"/>
  <c r="J73" i="9"/>
  <c r="O72" i="9"/>
  <c r="O71" i="9"/>
  <c r="O70" i="9"/>
  <c r="O69" i="9"/>
  <c r="Q68" i="9"/>
  <c r="J68" i="9"/>
  <c r="Q67" i="9"/>
  <c r="J67" i="9"/>
  <c r="O66" i="9"/>
  <c r="O65" i="9"/>
  <c r="O64" i="9"/>
  <c r="Q63" i="9"/>
  <c r="J63" i="9"/>
  <c r="O62" i="9"/>
  <c r="O61" i="9"/>
  <c r="O60" i="9"/>
  <c r="O59" i="9"/>
  <c r="Q58" i="9"/>
  <c r="J58" i="9"/>
  <c r="O57" i="9"/>
  <c r="O56" i="9"/>
  <c r="Q55" i="9"/>
  <c r="J55" i="9"/>
  <c r="O54" i="9"/>
  <c r="O53" i="9"/>
  <c r="O52" i="9"/>
  <c r="Q51" i="9"/>
  <c r="J51" i="9"/>
  <c r="O50" i="9"/>
  <c r="O49" i="9"/>
  <c r="Q48" i="9"/>
  <c r="J48" i="9"/>
  <c r="O47" i="9"/>
  <c r="Q46" i="9"/>
  <c r="J46" i="9"/>
  <c r="O45" i="9"/>
  <c r="O44" i="9"/>
  <c r="O43" i="9"/>
  <c r="O42" i="9"/>
  <c r="Q41" i="9"/>
  <c r="J41" i="9"/>
  <c r="O40" i="9"/>
  <c r="O39" i="9"/>
  <c r="O38" i="9"/>
  <c r="O37" i="9"/>
  <c r="O36" i="9"/>
  <c r="O35" i="9"/>
  <c r="O34" i="9"/>
  <c r="Q33" i="9"/>
  <c r="J33" i="9"/>
  <c r="O32" i="9"/>
  <c r="O31" i="9"/>
  <c r="O30" i="9"/>
  <c r="O29" i="9"/>
  <c r="O28" i="9"/>
  <c r="Q27" i="9"/>
  <c r="J27" i="9"/>
  <c r="O26" i="9"/>
  <c r="O25" i="9"/>
  <c r="O24" i="9"/>
  <c r="O23" i="9"/>
  <c r="Q22" i="9"/>
  <c r="J22" i="9"/>
  <c r="Q21" i="9"/>
  <c r="J21" i="9"/>
  <c r="O20" i="9"/>
  <c r="O19" i="9"/>
  <c r="O18" i="9"/>
  <c r="Q17" i="9"/>
  <c r="J17" i="9"/>
  <c r="O16" i="9"/>
  <c r="O15" i="9"/>
  <c r="O14" i="9"/>
  <c r="Q13" i="9"/>
  <c r="J13" i="9"/>
  <c r="O12" i="9"/>
  <c r="O11" i="9"/>
  <c r="O10" i="9"/>
  <c r="O9" i="9"/>
  <c r="O8" i="9"/>
  <c r="O7" i="9"/>
  <c r="Q6" i="9"/>
  <c r="J6" i="9"/>
  <c r="O5" i="9"/>
  <c r="O4" i="9"/>
  <c r="O3" i="9"/>
  <c r="Q2" i="9"/>
  <c r="J2" i="9"/>
  <c r="W1" i="9"/>
  <c r="H1" i="9"/>
  <c r="C1" i="9"/>
  <c r="B1" i="9"/>
  <c r="Q104" i="8"/>
  <c r="J104" i="8"/>
  <c r="O103" i="8"/>
  <c r="O102" i="8"/>
  <c r="O101" i="8"/>
  <c r="O100" i="8"/>
  <c r="O99" i="8"/>
  <c r="O98" i="8"/>
  <c r="O97" i="8"/>
  <c r="O96" i="8"/>
  <c r="O95" i="8"/>
  <c r="O94" i="8"/>
  <c r="Q93" i="8"/>
  <c r="J93" i="8"/>
  <c r="O92" i="8"/>
  <c r="Q91" i="8"/>
  <c r="J91" i="8"/>
  <c r="O90" i="8"/>
  <c r="O89" i="8"/>
  <c r="O88" i="8"/>
  <c r="O87" i="8"/>
  <c r="O86" i="8"/>
  <c r="O85" i="8"/>
  <c r="O84" i="8"/>
  <c r="O83" i="8"/>
  <c r="O82" i="8"/>
  <c r="O81" i="8"/>
  <c r="O80" i="8"/>
  <c r="O79" i="8"/>
  <c r="O78" i="8"/>
  <c r="O77" i="8"/>
  <c r="Q76" i="8"/>
  <c r="J76" i="8"/>
  <c r="O75" i="8"/>
  <c r="O74" i="8"/>
  <c r="O73" i="8"/>
  <c r="O72" i="8"/>
  <c r="O71" i="8"/>
  <c r="O70" i="8"/>
  <c r="O69" i="8"/>
  <c r="O68" i="8"/>
  <c r="O67" i="8"/>
  <c r="O66" i="8"/>
  <c r="O65" i="8"/>
  <c r="O64" i="8"/>
  <c r="O63" i="8"/>
  <c r="O62" i="8"/>
  <c r="O61" i="8"/>
  <c r="O60" i="8"/>
  <c r="O59" i="8"/>
  <c r="O58" i="8"/>
  <c r="O57" i="8"/>
  <c r="Q56" i="8"/>
  <c r="J56" i="8"/>
  <c r="Q55" i="8"/>
  <c r="J55" i="8"/>
  <c r="O54" i="8"/>
  <c r="O53" i="8"/>
  <c r="O52" i="8"/>
  <c r="O51" i="8"/>
  <c r="O50" i="8"/>
  <c r="O49" i="8"/>
  <c r="O48" i="8"/>
  <c r="O47" i="8"/>
  <c r="O46" i="8"/>
  <c r="O45" i="8"/>
  <c r="O44" i="8"/>
  <c r="Q43" i="8"/>
  <c r="J43" i="8"/>
  <c r="O42" i="8"/>
  <c r="O41" i="8"/>
  <c r="O40" i="8"/>
  <c r="O39" i="8"/>
  <c r="O38" i="8"/>
  <c r="O37" i="8"/>
  <c r="O36" i="8"/>
  <c r="Q35" i="8"/>
  <c r="J35" i="8"/>
  <c r="O34" i="8"/>
  <c r="O33" i="8"/>
  <c r="O32" i="8"/>
  <c r="O31" i="8"/>
  <c r="O30" i="8"/>
  <c r="O29" i="8"/>
  <c r="O28" i="8"/>
  <c r="O27" i="8"/>
  <c r="O26" i="8"/>
  <c r="O25" i="8"/>
  <c r="O24" i="8"/>
  <c r="O23" i="8"/>
  <c r="O22" i="8"/>
  <c r="O21" i="8"/>
  <c r="Q20" i="8"/>
  <c r="J20" i="8"/>
  <c r="Q19" i="8"/>
  <c r="J19" i="8"/>
  <c r="Q18" i="8"/>
  <c r="J18" i="8"/>
  <c r="Q17" i="8"/>
  <c r="J17" i="8"/>
  <c r="Q16" i="8"/>
  <c r="J16" i="8"/>
  <c r="Q15" i="8"/>
  <c r="Q14" i="8"/>
  <c r="J14" i="8"/>
  <c r="O13" i="8"/>
  <c r="Q12" i="8"/>
  <c r="J12" i="8"/>
  <c r="Q11" i="8"/>
  <c r="J11" i="8"/>
  <c r="O10" i="8"/>
  <c r="Q9" i="8"/>
  <c r="J9" i="8"/>
  <c r="Q8" i="8"/>
  <c r="J8" i="8"/>
  <c r="Q7" i="8"/>
  <c r="J7" i="8"/>
  <c r="Q6" i="8"/>
  <c r="J6" i="8"/>
  <c r="Q5" i="8"/>
  <c r="J5" i="8"/>
  <c r="Q4" i="8"/>
  <c r="J4" i="8"/>
  <c r="Q3" i="8"/>
  <c r="J3" i="8"/>
  <c r="Q2" i="8"/>
  <c r="J2" i="8"/>
  <c r="W1" i="8"/>
  <c r="H1" i="8"/>
  <c r="C1" i="8"/>
  <c r="B1" i="8"/>
  <c r="Q758" i="6"/>
  <c r="J758" i="6"/>
  <c r="Q757" i="6"/>
  <c r="J757" i="6"/>
  <c r="Q756" i="6"/>
  <c r="J756" i="6"/>
  <c r="Q755" i="6"/>
  <c r="J755" i="6"/>
  <c r="Q754" i="6"/>
  <c r="J754" i="6"/>
  <c r="Q753" i="6"/>
  <c r="J753" i="6"/>
  <c r="Q752" i="6"/>
  <c r="J752" i="6"/>
  <c r="Q751" i="6"/>
  <c r="J751" i="6"/>
  <c r="Q750" i="6"/>
  <c r="J750" i="6"/>
  <c r="Q749" i="6"/>
  <c r="J749" i="6"/>
  <c r="Q748" i="6"/>
  <c r="J748" i="6"/>
  <c r="Q747" i="6"/>
  <c r="J747" i="6"/>
  <c r="Q746" i="6"/>
  <c r="J746" i="6"/>
  <c r="Q745" i="6"/>
  <c r="J745" i="6"/>
  <c r="Q744" i="6"/>
  <c r="J744" i="6"/>
  <c r="Q743" i="6"/>
  <c r="J743" i="6"/>
  <c r="Q742" i="6"/>
  <c r="Q741" i="6"/>
  <c r="J741" i="6"/>
  <c r="Q740" i="6"/>
  <c r="J740" i="6"/>
  <c r="Q739" i="6"/>
  <c r="J739" i="6"/>
  <c r="Q738" i="6"/>
  <c r="J738" i="6"/>
  <c r="Q737" i="6"/>
  <c r="J737" i="6"/>
  <c r="Q736" i="6"/>
  <c r="J736" i="6"/>
  <c r="Q735" i="6"/>
  <c r="J735" i="6"/>
  <c r="Q734" i="6"/>
  <c r="J734" i="6"/>
  <c r="Q733" i="6"/>
  <c r="J733" i="6"/>
  <c r="Q732" i="6"/>
  <c r="J732" i="6"/>
  <c r="Q731" i="6"/>
  <c r="J731" i="6"/>
  <c r="Q730" i="6"/>
  <c r="J730" i="6"/>
  <c r="Q729" i="6"/>
  <c r="J729" i="6"/>
  <c r="Q728" i="6"/>
  <c r="J728" i="6"/>
  <c r="Q727" i="6"/>
  <c r="J727" i="6"/>
  <c r="Q726" i="6"/>
  <c r="J726" i="6"/>
  <c r="Q725" i="6"/>
  <c r="J725" i="6"/>
  <c r="Q724" i="6"/>
  <c r="J724" i="6"/>
  <c r="Q723" i="6"/>
  <c r="J723" i="6"/>
  <c r="Q722" i="6"/>
  <c r="J722" i="6"/>
  <c r="Q721" i="6"/>
  <c r="J721" i="6"/>
  <c r="Q720" i="6"/>
  <c r="J720" i="6"/>
  <c r="Q719" i="6"/>
  <c r="J719" i="6"/>
  <c r="Q718" i="6"/>
  <c r="J718" i="6"/>
  <c r="Q717" i="6"/>
  <c r="J717" i="6"/>
  <c r="Q716" i="6"/>
  <c r="J716" i="6"/>
  <c r="Q715" i="6"/>
  <c r="J715" i="6"/>
  <c r="Q714" i="6"/>
  <c r="J714" i="6"/>
  <c r="Q713" i="6"/>
  <c r="J713" i="6"/>
  <c r="Q712" i="6"/>
  <c r="J712" i="6"/>
  <c r="Q711" i="6"/>
  <c r="J711" i="6"/>
  <c r="Q710" i="6"/>
  <c r="J710" i="6"/>
  <c r="Q709" i="6"/>
  <c r="J709" i="6"/>
  <c r="Q708" i="6"/>
  <c r="J708" i="6"/>
  <c r="Q707" i="6"/>
  <c r="J707" i="6"/>
  <c r="Q706" i="6"/>
  <c r="J706" i="6"/>
  <c r="Q705" i="6"/>
  <c r="J705" i="6"/>
  <c r="Q704" i="6"/>
  <c r="J704" i="6"/>
  <c r="Q703" i="6"/>
  <c r="J703" i="6"/>
  <c r="Q702" i="6"/>
  <c r="J702" i="6"/>
  <c r="Q701" i="6"/>
  <c r="J701" i="6"/>
  <c r="Q700" i="6"/>
  <c r="J700" i="6"/>
  <c r="Q699" i="6"/>
  <c r="J699" i="6"/>
  <c r="Q698" i="6"/>
  <c r="J698" i="6"/>
  <c r="Q697" i="6"/>
  <c r="J697" i="6"/>
  <c r="Q696" i="6"/>
  <c r="J696" i="6"/>
  <c r="Q695" i="6"/>
  <c r="J695" i="6"/>
  <c r="Q694" i="6"/>
  <c r="J694" i="6"/>
  <c r="Q693" i="6"/>
  <c r="J693" i="6"/>
  <c r="Q692" i="6"/>
  <c r="J692" i="6"/>
  <c r="Q691" i="6"/>
  <c r="J691" i="6"/>
  <c r="Q690" i="6"/>
  <c r="J690" i="6"/>
  <c r="Q689" i="6"/>
  <c r="J689" i="6"/>
  <c r="Q688" i="6"/>
  <c r="J688" i="6"/>
  <c r="Q687" i="6"/>
  <c r="J687" i="6"/>
  <c r="Q686" i="6"/>
  <c r="J686" i="6"/>
  <c r="Q685" i="6"/>
  <c r="J685" i="6"/>
  <c r="Q684" i="6"/>
  <c r="J684" i="6"/>
  <c r="Q683" i="6"/>
  <c r="J683" i="6"/>
  <c r="Q682" i="6"/>
  <c r="J682" i="6"/>
  <c r="Q681" i="6"/>
  <c r="J681" i="6"/>
  <c r="Q680" i="6"/>
  <c r="J680" i="6"/>
  <c r="Q679" i="6"/>
  <c r="J679" i="6"/>
  <c r="Q678" i="6"/>
  <c r="J678" i="6"/>
  <c r="Q677" i="6"/>
  <c r="J677" i="6"/>
  <c r="Q676" i="6"/>
  <c r="J676" i="6"/>
  <c r="Q675" i="6"/>
  <c r="J675" i="6"/>
  <c r="Q674" i="6"/>
  <c r="J674" i="6"/>
  <c r="Q673" i="6"/>
  <c r="J673" i="6"/>
  <c r="Q672" i="6"/>
  <c r="J672" i="6"/>
  <c r="Q671" i="6"/>
  <c r="J671" i="6"/>
  <c r="Q670" i="6"/>
  <c r="J670" i="6"/>
  <c r="Q669" i="6"/>
  <c r="J669" i="6"/>
  <c r="Q668" i="6"/>
  <c r="J668" i="6"/>
  <c r="Q667" i="6"/>
  <c r="J667" i="6"/>
  <c r="Q666" i="6"/>
  <c r="J666" i="6"/>
  <c r="Q665" i="6"/>
  <c r="J665" i="6"/>
  <c r="Q664" i="6"/>
  <c r="J664" i="6"/>
  <c r="Q663" i="6"/>
  <c r="J663" i="6"/>
  <c r="Q662" i="6"/>
  <c r="J662" i="6"/>
  <c r="Q661" i="6"/>
  <c r="J661" i="6"/>
  <c r="Q660" i="6"/>
  <c r="J660" i="6"/>
  <c r="Q659" i="6"/>
  <c r="J659" i="6"/>
  <c r="Q658" i="6"/>
  <c r="J658" i="6"/>
  <c r="Q657" i="6"/>
  <c r="J657" i="6"/>
  <c r="Q656" i="6"/>
  <c r="J656" i="6"/>
  <c r="Q655" i="6"/>
  <c r="J655" i="6"/>
  <c r="Q654" i="6"/>
  <c r="J654" i="6"/>
  <c r="Q653" i="6"/>
  <c r="J653" i="6"/>
  <c r="Q652" i="6"/>
  <c r="J652" i="6"/>
  <c r="Q651" i="6"/>
  <c r="J651" i="6"/>
  <c r="Q650" i="6"/>
  <c r="J650" i="6"/>
  <c r="Q649" i="6"/>
  <c r="J649" i="6"/>
  <c r="Q648" i="6"/>
  <c r="J648" i="6"/>
  <c r="Q647" i="6"/>
  <c r="J647" i="6"/>
  <c r="Q646" i="6"/>
  <c r="J646" i="6"/>
  <c r="Q645" i="6"/>
  <c r="J645" i="6"/>
  <c r="Q644" i="6"/>
  <c r="J644" i="6"/>
  <c r="Q643" i="6"/>
  <c r="J643" i="6"/>
  <c r="Q642" i="6"/>
  <c r="J642" i="6"/>
  <c r="Q641" i="6"/>
  <c r="J641" i="6"/>
  <c r="Q640" i="6"/>
  <c r="J640" i="6"/>
  <c r="Q639" i="6"/>
  <c r="J639" i="6"/>
  <c r="Q638" i="6"/>
  <c r="J638" i="6"/>
  <c r="Q637" i="6"/>
  <c r="J637" i="6"/>
  <c r="Q636" i="6"/>
  <c r="J636" i="6"/>
  <c r="Q635" i="6"/>
  <c r="J635" i="6"/>
  <c r="Q634" i="6"/>
  <c r="J634" i="6"/>
  <c r="Q633" i="6"/>
  <c r="J633" i="6"/>
  <c r="Q632" i="6"/>
  <c r="J632" i="6"/>
  <c r="Q631" i="6"/>
  <c r="J631" i="6"/>
  <c r="Q630" i="6"/>
  <c r="J630" i="6"/>
  <c r="Q629" i="6"/>
  <c r="J629" i="6"/>
  <c r="Q628" i="6"/>
  <c r="J628" i="6"/>
  <c r="Q627" i="6"/>
  <c r="J627" i="6"/>
  <c r="Q626" i="6"/>
  <c r="J626" i="6"/>
  <c r="Q625" i="6"/>
  <c r="J625" i="6"/>
  <c r="Q624" i="6"/>
  <c r="J624" i="6"/>
  <c r="Q623" i="6"/>
  <c r="J623" i="6"/>
  <c r="Q622" i="6"/>
  <c r="J622" i="6"/>
  <c r="Q621" i="6"/>
  <c r="J621" i="6"/>
  <c r="Q620" i="6"/>
  <c r="J620" i="6"/>
  <c r="Q619" i="6"/>
  <c r="J619" i="6"/>
  <c r="Q618" i="6"/>
  <c r="J618" i="6"/>
  <c r="Q617" i="6"/>
  <c r="J617" i="6"/>
  <c r="Q616" i="6"/>
  <c r="J616" i="6"/>
  <c r="Q615" i="6"/>
  <c r="J615" i="6"/>
  <c r="Q614" i="6"/>
  <c r="J614" i="6"/>
  <c r="Q613" i="6"/>
  <c r="J613" i="6"/>
  <c r="Q612" i="6"/>
  <c r="J612" i="6"/>
  <c r="Q611" i="6"/>
  <c r="J611" i="6"/>
  <c r="Q610" i="6"/>
  <c r="J610" i="6"/>
  <c r="Q609" i="6"/>
  <c r="J609" i="6"/>
  <c r="Q608" i="6"/>
  <c r="J608" i="6"/>
  <c r="Q607" i="6"/>
  <c r="J607" i="6"/>
  <c r="Q606" i="6"/>
  <c r="J606" i="6"/>
  <c r="Q605" i="6"/>
  <c r="J605" i="6"/>
  <c r="Q604" i="6"/>
  <c r="J604" i="6"/>
  <c r="Q603" i="6"/>
  <c r="J603" i="6"/>
  <c r="Q602" i="6"/>
  <c r="J602" i="6"/>
  <c r="Q601" i="6"/>
  <c r="J601" i="6"/>
  <c r="Q600" i="6"/>
  <c r="J600" i="6"/>
  <c r="Q599" i="6"/>
  <c r="J599" i="6"/>
  <c r="Q598" i="6"/>
  <c r="J598" i="6"/>
  <c r="Q597" i="6"/>
  <c r="J597" i="6"/>
  <c r="Q596" i="6"/>
  <c r="J596" i="6"/>
  <c r="Q595" i="6"/>
  <c r="J595" i="6"/>
  <c r="Q594" i="6"/>
  <c r="J594" i="6"/>
  <c r="Q593" i="6"/>
  <c r="J593" i="6"/>
  <c r="Q592" i="6"/>
  <c r="J592" i="6"/>
  <c r="Q591" i="6"/>
  <c r="J591" i="6"/>
  <c r="Q590" i="6"/>
  <c r="J590" i="6"/>
  <c r="Q589" i="6"/>
  <c r="J589" i="6"/>
  <c r="Q588" i="6"/>
  <c r="J588" i="6"/>
  <c r="Q587" i="6"/>
  <c r="J587" i="6"/>
  <c r="Q586" i="6"/>
  <c r="J586" i="6"/>
  <c r="Q585" i="6"/>
  <c r="J585" i="6"/>
  <c r="Q584" i="6"/>
  <c r="J584" i="6"/>
  <c r="Q583" i="6"/>
  <c r="J583" i="6"/>
  <c r="Q582" i="6"/>
  <c r="J582" i="6"/>
  <c r="Q581" i="6"/>
  <c r="J581" i="6"/>
  <c r="Q580" i="6"/>
  <c r="J580" i="6"/>
  <c r="Q579" i="6"/>
  <c r="J579" i="6"/>
  <c r="Q578" i="6"/>
  <c r="J578" i="6"/>
  <c r="Q577" i="6"/>
  <c r="J577" i="6"/>
  <c r="Q576" i="6"/>
  <c r="J576" i="6"/>
  <c r="Q575" i="6"/>
  <c r="J575" i="6"/>
  <c r="Q574" i="6"/>
  <c r="J574" i="6"/>
  <c r="Q573" i="6"/>
  <c r="J573" i="6"/>
  <c r="Q572" i="6"/>
  <c r="J572" i="6"/>
  <c r="Q571" i="6"/>
  <c r="J571" i="6"/>
  <c r="Q570" i="6"/>
  <c r="J570" i="6"/>
  <c r="Q569" i="6"/>
  <c r="J569" i="6"/>
  <c r="Q568" i="6"/>
  <c r="J568" i="6"/>
  <c r="Q567" i="6"/>
  <c r="J567" i="6"/>
  <c r="Q566" i="6"/>
  <c r="J566" i="6"/>
  <c r="Q565" i="6"/>
  <c r="J565" i="6"/>
  <c r="Q564" i="6"/>
  <c r="J564" i="6"/>
  <c r="Q563" i="6"/>
  <c r="J563" i="6"/>
  <c r="Q562" i="6"/>
  <c r="J562" i="6"/>
  <c r="Q561" i="6"/>
  <c r="J561" i="6"/>
  <c r="Q560" i="6"/>
  <c r="J560" i="6"/>
  <c r="Q559" i="6"/>
  <c r="J559" i="6"/>
  <c r="Q558" i="6"/>
  <c r="J558" i="6"/>
  <c r="Q557" i="6"/>
  <c r="J557" i="6"/>
  <c r="Q556" i="6"/>
  <c r="J556" i="6"/>
  <c r="Q555" i="6"/>
  <c r="J555" i="6"/>
  <c r="Q554" i="6"/>
  <c r="J554" i="6"/>
  <c r="Q553" i="6"/>
  <c r="J553" i="6"/>
  <c r="Q552" i="6"/>
  <c r="J552" i="6"/>
  <c r="Q551" i="6"/>
  <c r="J551" i="6"/>
  <c r="Q550" i="6"/>
  <c r="J550" i="6"/>
  <c r="Q549" i="6"/>
  <c r="J549" i="6"/>
  <c r="Q548" i="6"/>
  <c r="J548" i="6"/>
  <c r="Q547" i="6"/>
  <c r="J547" i="6"/>
  <c r="Q546" i="6"/>
  <c r="J546" i="6"/>
  <c r="Q545" i="6"/>
  <c r="J545" i="6"/>
  <c r="Q544" i="6"/>
  <c r="J544" i="6"/>
  <c r="Q543" i="6"/>
  <c r="J543" i="6"/>
  <c r="Q542" i="6"/>
  <c r="J542" i="6"/>
  <c r="Q541" i="6"/>
  <c r="J541" i="6"/>
  <c r="Q540" i="6"/>
  <c r="J540" i="6"/>
  <c r="Q539" i="6"/>
  <c r="J539" i="6"/>
  <c r="Q538" i="6"/>
  <c r="J538" i="6"/>
  <c r="Q537" i="6"/>
  <c r="J537" i="6"/>
  <c r="Q536" i="6"/>
  <c r="J536" i="6"/>
  <c r="Q535" i="6"/>
  <c r="J535" i="6"/>
  <c r="Q534" i="6"/>
  <c r="J534" i="6"/>
  <c r="Q533" i="6"/>
  <c r="J533" i="6"/>
  <c r="Q532" i="6"/>
  <c r="J532" i="6"/>
  <c r="Q531" i="6"/>
  <c r="J531" i="6"/>
  <c r="Q530" i="6"/>
  <c r="J530" i="6"/>
  <c r="Q529" i="6"/>
  <c r="J529" i="6"/>
  <c r="Q528" i="6"/>
  <c r="J528" i="6"/>
  <c r="Q527" i="6"/>
  <c r="J527" i="6"/>
  <c r="Q526" i="6"/>
  <c r="J526" i="6"/>
  <c r="Q525" i="6"/>
  <c r="J525" i="6"/>
  <c r="Q524" i="6"/>
  <c r="J524" i="6"/>
  <c r="Q523" i="6"/>
  <c r="J523" i="6"/>
  <c r="Q522" i="6"/>
  <c r="J522" i="6"/>
  <c r="Q521" i="6"/>
  <c r="J521" i="6"/>
  <c r="Q520" i="6"/>
  <c r="J520" i="6"/>
  <c r="Q519" i="6"/>
  <c r="J519" i="6"/>
  <c r="Q518" i="6"/>
  <c r="J518" i="6"/>
  <c r="Q517" i="6"/>
  <c r="J517" i="6"/>
  <c r="Q516" i="6"/>
  <c r="J516" i="6"/>
  <c r="Q515" i="6"/>
  <c r="J515" i="6"/>
  <c r="Q514" i="6"/>
  <c r="J514" i="6"/>
  <c r="Q513" i="6"/>
  <c r="J513" i="6"/>
  <c r="Q512" i="6"/>
  <c r="J512" i="6"/>
  <c r="Q511" i="6"/>
  <c r="J511" i="6"/>
  <c r="Q510" i="6"/>
  <c r="J510" i="6"/>
  <c r="Q509" i="6"/>
  <c r="J509" i="6"/>
  <c r="Q508" i="6"/>
  <c r="J508" i="6"/>
  <c r="Q507" i="6"/>
  <c r="J507" i="6"/>
  <c r="Q506" i="6"/>
  <c r="J506" i="6"/>
  <c r="Q505" i="6"/>
  <c r="J505" i="6"/>
  <c r="Q504" i="6"/>
  <c r="J504" i="6"/>
  <c r="Q503" i="6"/>
  <c r="J503" i="6"/>
  <c r="Q502" i="6"/>
  <c r="J502" i="6"/>
  <c r="Q501" i="6"/>
  <c r="J501" i="6"/>
  <c r="Q500" i="6"/>
  <c r="J500" i="6"/>
  <c r="Q499" i="6"/>
  <c r="J499" i="6"/>
  <c r="Q498" i="6"/>
  <c r="J498" i="6"/>
  <c r="Q497" i="6"/>
  <c r="J497" i="6"/>
  <c r="Q496" i="6"/>
  <c r="J496" i="6"/>
  <c r="Q495" i="6"/>
  <c r="J495" i="6"/>
  <c r="Q494" i="6"/>
  <c r="J494" i="6"/>
  <c r="Q493" i="6"/>
  <c r="J493" i="6"/>
  <c r="Q492" i="6"/>
  <c r="J492" i="6"/>
  <c r="Q491" i="6"/>
  <c r="J491" i="6"/>
  <c r="Q490" i="6"/>
  <c r="J490" i="6"/>
  <c r="Q489" i="6"/>
  <c r="J489" i="6"/>
  <c r="Q488" i="6"/>
  <c r="J488" i="6"/>
  <c r="Q487" i="6"/>
  <c r="J487" i="6"/>
  <c r="Q486" i="6"/>
  <c r="J486" i="6"/>
  <c r="Q485" i="6"/>
  <c r="J485" i="6"/>
  <c r="Q484" i="6"/>
  <c r="J484" i="6"/>
  <c r="Q483" i="6"/>
  <c r="J483" i="6"/>
  <c r="Q482" i="6"/>
  <c r="J482" i="6"/>
  <c r="Q481" i="6"/>
  <c r="J481" i="6"/>
  <c r="Q480" i="6"/>
  <c r="J480" i="6"/>
  <c r="Q479" i="6"/>
  <c r="J479" i="6"/>
  <c r="Q478" i="6"/>
  <c r="J478" i="6"/>
  <c r="Q477" i="6"/>
  <c r="J477" i="6"/>
  <c r="Q476" i="6"/>
  <c r="J476" i="6"/>
  <c r="Q475" i="6"/>
  <c r="J475" i="6"/>
  <c r="Q474" i="6"/>
  <c r="J474" i="6"/>
  <c r="Q473" i="6"/>
  <c r="J473" i="6"/>
  <c r="Q472" i="6"/>
  <c r="J472" i="6"/>
  <c r="Q471" i="6"/>
  <c r="J471" i="6"/>
  <c r="Q470" i="6"/>
  <c r="J470" i="6"/>
  <c r="Q469" i="6"/>
  <c r="J469" i="6"/>
  <c r="Q468" i="6"/>
  <c r="J468" i="6"/>
  <c r="Q467" i="6"/>
  <c r="J467" i="6"/>
  <c r="Q466" i="6"/>
  <c r="J466" i="6"/>
  <c r="Q465" i="6"/>
  <c r="J465" i="6"/>
  <c r="Q464" i="6"/>
  <c r="J464" i="6"/>
  <c r="Q463" i="6"/>
  <c r="J463" i="6"/>
  <c r="Q462" i="6"/>
  <c r="J462" i="6"/>
  <c r="Q461" i="6"/>
  <c r="J461" i="6"/>
  <c r="Q460" i="6"/>
  <c r="J460" i="6"/>
  <c r="Q459" i="6"/>
  <c r="J459" i="6"/>
  <c r="Q458" i="6"/>
  <c r="J458" i="6"/>
  <c r="Q457" i="6"/>
  <c r="J457" i="6"/>
  <c r="Q456" i="6"/>
  <c r="J456" i="6"/>
  <c r="Q455" i="6"/>
  <c r="J455" i="6"/>
  <c r="Q454" i="6"/>
  <c r="J454" i="6"/>
  <c r="Q453" i="6"/>
  <c r="J453" i="6"/>
  <c r="Q452" i="6"/>
  <c r="J452" i="6"/>
  <c r="Q451" i="6"/>
  <c r="J451" i="6"/>
  <c r="Q450" i="6"/>
  <c r="J450" i="6"/>
  <c r="Q449" i="6"/>
  <c r="J449" i="6"/>
  <c r="Q448" i="6"/>
  <c r="J448" i="6"/>
  <c r="Q447" i="6"/>
  <c r="J447" i="6"/>
  <c r="Q446" i="6"/>
  <c r="J446" i="6"/>
  <c r="Q445" i="6"/>
  <c r="J445" i="6"/>
  <c r="Q444" i="6"/>
  <c r="J444" i="6"/>
  <c r="Q443" i="6"/>
  <c r="J443" i="6"/>
  <c r="Q442" i="6"/>
  <c r="J442" i="6"/>
  <c r="Q441" i="6"/>
  <c r="J441" i="6"/>
  <c r="Q440" i="6"/>
  <c r="J440" i="6"/>
  <c r="Q439" i="6"/>
  <c r="J439" i="6"/>
  <c r="Q438" i="6"/>
  <c r="J438" i="6"/>
  <c r="Q437" i="6"/>
  <c r="J437" i="6"/>
  <c r="Q436" i="6"/>
  <c r="J436" i="6"/>
  <c r="Q435" i="6"/>
  <c r="J435" i="6"/>
  <c r="Q434" i="6"/>
  <c r="J434" i="6"/>
  <c r="Q433" i="6"/>
  <c r="J433" i="6"/>
  <c r="Q432" i="6"/>
  <c r="J432" i="6"/>
  <c r="Q431" i="6"/>
  <c r="J431" i="6"/>
  <c r="Q430" i="6"/>
  <c r="J430" i="6"/>
  <c r="Q429" i="6"/>
  <c r="J429" i="6"/>
  <c r="Q428" i="6"/>
  <c r="J428" i="6"/>
  <c r="Q427" i="6"/>
  <c r="J427" i="6"/>
  <c r="Q426" i="6"/>
  <c r="J426" i="6"/>
  <c r="Q425" i="6"/>
  <c r="J425" i="6"/>
  <c r="Q424" i="6"/>
  <c r="J424" i="6"/>
  <c r="Q423" i="6"/>
  <c r="J423" i="6"/>
  <c r="Q422" i="6"/>
  <c r="J422" i="6"/>
  <c r="Q421" i="6"/>
  <c r="J421" i="6"/>
  <c r="Q420" i="6"/>
  <c r="J420" i="6"/>
  <c r="Q419" i="6"/>
  <c r="J419" i="6"/>
  <c r="Q418" i="6"/>
  <c r="J418" i="6"/>
  <c r="Q417" i="6"/>
  <c r="J417" i="6"/>
  <c r="Q416" i="6"/>
  <c r="J416" i="6"/>
  <c r="Q415" i="6"/>
  <c r="J415" i="6"/>
  <c r="Q414" i="6"/>
  <c r="J414" i="6"/>
  <c r="Q413" i="6"/>
  <c r="J413" i="6"/>
  <c r="Q412" i="6"/>
  <c r="J412" i="6"/>
  <c r="Q411" i="6"/>
  <c r="J411" i="6"/>
  <c r="Q410" i="6"/>
  <c r="J410" i="6"/>
  <c r="Q409" i="6"/>
  <c r="J409" i="6"/>
  <c r="Q408" i="6"/>
  <c r="J408" i="6"/>
  <c r="Q407" i="6"/>
  <c r="J407" i="6"/>
  <c r="Q406" i="6"/>
  <c r="J406" i="6"/>
  <c r="Q405" i="6"/>
  <c r="J405" i="6"/>
  <c r="Q404" i="6"/>
  <c r="J404" i="6"/>
  <c r="Q403" i="6"/>
  <c r="J403" i="6"/>
  <c r="Q402" i="6"/>
  <c r="J402" i="6"/>
  <c r="Q401" i="6"/>
  <c r="J401" i="6"/>
  <c r="Q400" i="6"/>
  <c r="J400" i="6"/>
  <c r="Q399" i="6"/>
  <c r="J399" i="6"/>
  <c r="Q398" i="6"/>
  <c r="J398" i="6"/>
  <c r="Q397" i="6"/>
  <c r="J397" i="6"/>
  <c r="Q396" i="6"/>
  <c r="J396" i="6"/>
  <c r="Q395" i="6"/>
  <c r="J395" i="6"/>
  <c r="Q394" i="6"/>
  <c r="J394" i="6"/>
  <c r="Q393" i="6"/>
  <c r="J393" i="6"/>
  <c r="Q392" i="6"/>
  <c r="J392" i="6"/>
  <c r="Q391" i="6"/>
  <c r="J391" i="6"/>
  <c r="Q390" i="6"/>
  <c r="J390" i="6"/>
  <c r="Q389" i="6"/>
  <c r="J389" i="6"/>
  <c r="Q388" i="6"/>
  <c r="J388" i="6"/>
  <c r="Q387" i="6"/>
  <c r="J387" i="6"/>
  <c r="Q386" i="6"/>
  <c r="J386" i="6"/>
  <c r="Q385" i="6"/>
  <c r="J385" i="6"/>
  <c r="Q384" i="6"/>
  <c r="J384" i="6"/>
  <c r="Q383" i="6"/>
  <c r="J383" i="6"/>
  <c r="Q382" i="6"/>
  <c r="J382" i="6"/>
  <c r="Q381" i="6"/>
  <c r="J381" i="6"/>
  <c r="Q380" i="6"/>
  <c r="J380" i="6"/>
  <c r="Q379" i="6"/>
  <c r="J379" i="6"/>
  <c r="Q378" i="6"/>
  <c r="J378" i="6"/>
  <c r="Q377" i="6"/>
  <c r="J377" i="6"/>
  <c r="Q376" i="6"/>
  <c r="J376" i="6"/>
  <c r="Q375" i="6"/>
  <c r="J375" i="6"/>
  <c r="Q374" i="6"/>
  <c r="J374" i="6"/>
  <c r="Q373" i="6"/>
  <c r="J373" i="6"/>
  <c r="Q372" i="6"/>
  <c r="J372" i="6"/>
  <c r="Q371" i="6"/>
  <c r="J371" i="6"/>
  <c r="Q370" i="6"/>
  <c r="J370" i="6"/>
  <c r="Q369" i="6"/>
  <c r="J369" i="6"/>
  <c r="Q368" i="6"/>
  <c r="J368" i="6"/>
  <c r="Q367" i="6"/>
  <c r="J367" i="6"/>
  <c r="Q366" i="6"/>
  <c r="J366" i="6"/>
  <c r="Q365" i="6"/>
  <c r="J365" i="6"/>
  <c r="Q364" i="6"/>
  <c r="J364" i="6"/>
  <c r="Q363" i="6"/>
  <c r="J363" i="6"/>
  <c r="Q362" i="6"/>
  <c r="J362" i="6"/>
  <c r="Q361" i="6"/>
  <c r="J361" i="6"/>
  <c r="Q360" i="6"/>
  <c r="J360" i="6"/>
  <c r="Q359" i="6"/>
  <c r="J359" i="6"/>
  <c r="Q358" i="6"/>
  <c r="J358" i="6"/>
  <c r="Q357" i="6"/>
  <c r="J357" i="6"/>
  <c r="Q356" i="6"/>
  <c r="J356" i="6"/>
  <c r="Q355" i="6"/>
  <c r="J355" i="6"/>
  <c r="Q354" i="6"/>
  <c r="J354" i="6"/>
  <c r="Q353" i="6"/>
  <c r="J353" i="6"/>
  <c r="Q352" i="6"/>
  <c r="J352" i="6"/>
  <c r="Q351" i="6"/>
  <c r="J351" i="6"/>
  <c r="Q350" i="6"/>
  <c r="J350" i="6"/>
  <c r="Q349" i="6"/>
  <c r="J349" i="6"/>
  <c r="Q348" i="6"/>
  <c r="J348" i="6"/>
  <c r="Q347" i="6"/>
  <c r="J347" i="6"/>
  <c r="Q346" i="6"/>
  <c r="J346" i="6"/>
  <c r="Q345" i="6"/>
  <c r="J345" i="6"/>
  <c r="Q344" i="6"/>
  <c r="J344" i="6"/>
  <c r="Q343" i="6"/>
  <c r="J343" i="6"/>
  <c r="Q342" i="6"/>
  <c r="J342" i="6"/>
  <c r="Q341" i="6"/>
  <c r="J341" i="6"/>
  <c r="Q340" i="6"/>
  <c r="J340" i="6"/>
  <c r="Q339" i="6"/>
  <c r="J339" i="6"/>
  <c r="Q338" i="6"/>
  <c r="J338" i="6"/>
  <c r="Q337" i="6"/>
  <c r="J337" i="6"/>
  <c r="Q336" i="6"/>
  <c r="J336" i="6"/>
  <c r="Q335" i="6"/>
  <c r="J335" i="6"/>
  <c r="Q334" i="6"/>
  <c r="J334" i="6"/>
  <c r="Q333" i="6"/>
  <c r="J333" i="6"/>
  <c r="Q332" i="6"/>
  <c r="J332" i="6"/>
  <c r="Q331" i="6"/>
  <c r="J331" i="6"/>
  <c r="Q330" i="6"/>
  <c r="J330" i="6"/>
  <c r="Q329" i="6"/>
  <c r="J329" i="6"/>
  <c r="Q328" i="6"/>
  <c r="J328" i="6"/>
  <c r="Q327" i="6"/>
  <c r="J327" i="6"/>
  <c r="Q326" i="6"/>
  <c r="J326" i="6"/>
  <c r="Q325" i="6"/>
  <c r="J325" i="6"/>
  <c r="Q324" i="6"/>
  <c r="J324" i="6"/>
  <c r="Q323" i="6"/>
  <c r="J323" i="6"/>
  <c r="Q322" i="6"/>
  <c r="J322" i="6"/>
  <c r="Q321" i="6"/>
  <c r="J321" i="6"/>
  <c r="Q320" i="6"/>
  <c r="J320" i="6"/>
  <c r="Q319" i="6"/>
  <c r="J319" i="6"/>
  <c r="Q318" i="6"/>
  <c r="J318" i="6"/>
  <c r="Q317" i="6"/>
  <c r="J317" i="6"/>
  <c r="Q316" i="6"/>
  <c r="J316" i="6"/>
  <c r="Q315" i="6"/>
  <c r="J315" i="6"/>
  <c r="Q314" i="6"/>
  <c r="J314" i="6"/>
  <c r="Q313" i="6"/>
  <c r="J313" i="6"/>
  <c r="Q312" i="6"/>
  <c r="J312" i="6"/>
  <c r="Q311" i="6"/>
  <c r="J311" i="6"/>
  <c r="Q310" i="6"/>
  <c r="J310" i="6"/>
  <c r="Q309" i="6"/>
  <c r="J309" i="6"/>
  <c r="Q308" i="6"/>
  <c r="J308" i="6"/>
  <c r="Q307" i="6"/>
  <c r="J307" i="6"/>
  <c r="Q306" i="6"/>
  <c r="J306" i="6"/>
  <c r="Q305" i="6"/>
  <c r="J305" i="6"/>
  <c r="Q304" i="6"/>
  <c r="J304" i="6"/>
  <c r="Q303" i="6"/>
  <c r="J303" i="6"/>
  <c r="Q302" i="6"/>
  <c r="J302" i="6"/>
  <c r="Q301" i="6"/>
  <c r="J301" i="6"/>
  <c r="Q300" i="6"/>
  <c r="J300" i="6"/>
  <c r="Q299" i="6"/>
  <c r="J299" i="6"/>
  <c r="Q298" i="6"/>
  <c r="J298" i="6"/>
  <c r="Q297" i="6"/>
  <c r="J297" i="6"/>
  <c r="Q296" i="6"/>
  <c r="J296" i="6"/>
  <c r="Q295" i="6"/>
  <c r="J295" i="6"/>
  <c r="Q294" i="6"/>
  <c r="J294" i="6"/>
  <c r="Q293" i="6"/>
  <c r="J293" i="6"/>
  <c r="Q292" i="6"/>
  <c r="J292" i="6"/>
  <c r="Q291" i="6"/>
  <c r="J291" i="6"/>
  <c r="Q290" i="6"/>
  <c r="J290" i="6"/>
  <c r="Q289" i="6"/>
  <c r="J289" i="6"/>
  <c r="Q288" i="6"/>
  <c r="J288" i="6"/>
  <c r="Q287" i="6"/>
  <c r="J287" i="6"/>
  <c r="Q286" i="6"/>
  <c r="J286" i="6"/>
  <c r="Q285" i="6"/>
  <c r="J285" i="6"/>
  <c r="Q284" i="6"/>
  <c r="J284" i="6"/>
  <c r="Q283" i="6"/>
  <c r="J283" i="6"/>
  <c r="Q282" i="6"/>
  <c r="J282" i="6"/>
  <c r="Q281" i="6"/>
  <c r="J281" i="6"/>
  <c r="Q280" i="6"/>
  <c r="J280" i="6"/>
  <c r="Q279" i="6"/>
  <c r="J279" i="6"/>
  <c r="Q278" i="6"/>
  <c r="J278" i="6"/>
  <c r="Q277" i="6"/>
  <c r="J277" i="6"/>
  <c r="Q276" i="6"/>
  <c r="J276" i="6"/>
  <c r="Q275" i="6"/>
  <c r="J275" i="6"/>
  <c r="Q274" i="6"/>
  <c r="J274" i="6"/>
  <c r="Q273" i="6"/>
  <c r="J273" i="6"/>
  <c r="Q272" i="6"/>
  <c r="J272" i="6"/>
  <c r="Q271" i="6"/>
  <c r="J271" i="6"/>
  <c r="Q270" i="6"/>
  <c r="J270" i="6"/>
  <c r="Q269" i="6"/>
  <c r="J269" i="6"/>
  <c r="Q268" i="6"/>
  <c r="J268" i="6"/>
  <c r="Q267" i="6"/>
  <c r="J267" i="6"/>
  <c r="Q266" i="6"/>
  <c r="J266" i="6"/>
  <c r="Q265" i="6"/>
  <c r="J265" i="6"/>
  <c r="Q264" i="6"/>
  <c r="J264" i="6"/>
  <c r="Q263" i="6"/>
  <c r="J263" i="6"/>
  <c r="Q262" i="6"/>
  <c r="J262" i="6"/>
  <c r="Q261" i="6"/>
  <c r="J261" i="6"/>
  <c r="Q260" i="6"/>
  <c r="J260" i="6"/>
  <c r="Q259" i="6"/>
  <c r="J259" i="6"/>
  <c r="Q258" i="6"/>
  <c r="J258" i="6"/>
  <c r="Q257" i="6"/>
  <c r="J257" i="6"/>
  <c r="Q256" i="6"/>
  <c r="J256" i="6"/>
  <c r="Q255" i="6"/>
  <c r="J255" i="6"/>
  <c r="Q254" i="6"/>
  <c r="J254" i="6"/>
  <c r="Q253" i="6"/>
  <c r="J253" i="6"/>
  <c r="Q252" i="6"/>
  <c r="J252" i="6"/>
  <c r="Q251" i="6"/>
  <c r="J251" i="6"/>
  <c r="Q250" i="6"/>
  <c r="J250" i="6"/>
  <c r="Q249" i="6"/>
  <c r="J249" i="6"/>
  <c r="Q248" i="6"/>
  <c r="J248" i="6"/>
  <c r="Q247" i="6"/>
  <c r="J247" i="6"/>
  <c r="Q246" i="6"/>
  <c r="J246" i="6"/>
  <c r="Q245" i="6"/>
  <c r="J245" i="6"/>
  <c r="Q244" i="6"/>
  <c r="J244" i="6"/>
  <c r="Q243" i="6"/>
  <c r="J243" i="6"/>
  <c r="Q242" i="6"/>
  <c r="J242" i="6"/>
  <c r="Q241" i="6"/>
  <c r="J241" i="6"/>
  <c r="Q240" i="6"/>
  <c r="J240" i="6"/>
  <c r="Q239" i="6"/>
  <c r="J239" i="6"/>
  <c r="Q238" i="6"/>
  <c r="J238" i="6"/>
  <c r="Q237" i="6"/>
  <c r="J237" i="6"/>
  <c r="Q236" i="6"/>
  <c r="J236" i="6"/>
  <c r="Q235" i="6"/>
  <c r="J235" i="6"/>
  <c r="Q234" i="6"/>
  <c r="J234" i="6"/>
  <c r="Q233" i="6"/>
  <c r="J233" i="6"/>
  <c r="Q232" i="6"/>
  <c r="J232" i="6"/>
  <c r="Q231" i="6"/>
  <c r="J231" i="6"/>
  <c r="Q230" i="6"/>
  <c r="J230" i="6"/>
  <c r="Q229" i="6"/>
  <c r="J229" i="6"/>
  <c r="Q228" i="6"/>
  <c r="J228" i="6"/>
  <c r="Q227" i="6"/>
  <c r="J227" i="6"/>
  <c r="Q226" i="6"/>
  <c r="J226" i="6"/>
  <c r="Q225" i="6"/>
  <c r="J225" i="6"/>
  <c r="Q224" i="6"/>
  <c r="J224" i="6"/>
  <c r="Q223" i="6"/>
  <c r="J223" i="6"/>
  <c r="Q222" i="6"/>
  <c r="J222" i="6"/>
  <c r="Q221" i="6"/>
  <c r="J221" i="6"/>
  <c r="Q220" i="6"/>
  <c r="J220" i="6"/>
  <c r="Q219" i="6"/>
  <c r="J219" i="6"/>
  <c r="Q218" i="6"/>
  <c r="J218" i="6"/>
  <c r="Q217" i="6"/>
  <c r="J217" i="6"/>
  <c r="Q216" i="6"/>
  <c r="J216" i="6"/>
  <c r="Q215" i="6"/>
  <c r="J215" i="6"/>
  <c r="Q214" i="6"/>
  <c r="J214" i="6"/>
  <c r="Q213" i="6"/>
  <c r="J213" i="6"/>
  <c r="Q212" i="6"/>
  <c r="J212" i="6"/>
  <c r="Q211" i="6"/>
  <c r="J211" i="6"/>
  <c r="Q210" i="6"/>
  <c r="J210" i="6"/>
  <c r="Q209" i="6"/>
  <c r="J209" i="6"/>
  <c r="Q208" i="6"/>
  <c r="J208" i="6"/>
  <c r="Q207" i="6"/>
  <c r="J207" i="6"/>
  <c r="Q206" i="6"/>
  <c r="J206" i="6"/>
  <c r="Q205" i="6"/>
  <c r="J205" i="6"/>
  <c r="Q204" i="6"/>
  <c r="J204" i="6"/>
  <c r="Q203" i="6"/>
  <c r="J203" i="6"/>
  <c r="Q202" i="6"/>
  <c r="J202" i="6"/>
  <c r="Q201" i="6"/>
  <c r="J201" i="6"/>
  <c r="Q200" i="6"/>
  <c r="J200" i="6"/>
  <c r="Q199" i="6"/>
  <c r="J199" i="6"/>
  <c r="Q198" i="6"/>
  <c r="J198" i="6"/>
  <c r="Q197" i="6"/>
  <c r="J197" i="6"/>
  <c r="Q196" i="6"/>
  <c r="J196" i="6"/>
  <c r="Q195" i="6"/>
  <c r="J195" i="6"/>
  <c r="Q194" i="6"/>
  <c r="J194" i="6"/>
  <c r="Q193" i="6"/>
  <c r="J193" i="6"/>
  <c r="Q192" i="6"/>
  <c r="J192" i="6"/>
  <c r="Q191" i="6"/>
  <c r="J191" i="6"/>
  <c r="Q190" i="6"/>
  <c r="J190" i="6"/>
  <c r="Q189" i="6"/>
  <c r="J189" i="6"/>
  <c r="Q188" i="6"/>
  <c r="J188" i="6"/>
  <c r="Q187" i="6"/>
  <c r="J187" i="6"/>
  <c r="Q186" i="6"/>
  <c r="J186" i="6"/>
  <c r="Q185" i="6"/>
  <c r="J185" i="6"/>
  <c r="Q184" i="6"/>
  <c r="J184" i="6"/>
  <c r="Q183" i="6"/>
  <c r="J183" i="6"/>
  <c r="Q182" i="6"/>
  <c r="J182" i="6"/>
  <c r="Q181" i="6"/>
  <c r="J181" i="6"/>
  <c r="Q180" i="6"/>
  <c r="J180" i="6"/>
  <c r="Q179" i="6"/>
  <c r="J179" i="6"/>
  <c r="Q178" i="6"/>
  <c r="J178" i="6"/>
  <c r="Q177" i="6"/>
  <c r="J177" i="6"/>
  <c r="Q176" i="6"/>
  <c r="J176" i="6"/>
  <c r="Q175" i="6"/>
  <c r="J175" i="6"/>
  <c r="Q174" i="6"/>
  <c r="J174" i="6"/>
  <c r="Q173" i="6"/>
  <c r="J173" i="6"/>
  <c r="Q172" i="6"/>
  <c r="J172" i="6"/>
  <c r="Q171" i="6"/>
  <c r="J171" i="6"/>
  <c r="Q170" i="6"/>
  <c r="J170" i="6"/>
  <c r="Q169" i="6"/>
  <c r="J169" i="6"/>
  <c r="Q168" i="6"/>
  <c r="J168" i="6"/>
  <c r="Q167" i="6"/>
  <c r="J167" i="6"/>
  <c r="Q166" i="6"/>
  <c r="J166" i="6"/>
  <c r="Q165" i="6"/>
  <c r="J165" i="6"/>
  <c r="Q164" i="6"/>
  <c r="J164" i="6"/>
  <c r="Q163" i="6"/>
  <c r="J163" i="6"/>
  <c r="Q162" i="6"/>
  <c r="J162" i="6"/>
  <c r="Q161" i="6"/>
  <c r="J161" i="6"/>
  <c r="Q160" i="6"/>
  <c r="J160" i="6"/>
  <c r="Q159" i="6"/>
  <c r="J159" i="6"/>
  <c r="Q158" i="6"/>
  <c r="J158" i="6"/>
  <c r="Q157" i="6"/>
  <c r="J157" i="6"/>
  <c r="Q156" i="6"/>
  <c r="J156" i="6"/>
  <c r="Q155" i="6"/>
  <c r="J155" i="6"/>
  <c r="Q154" i="6"/>
  <c r="J154" i="6"/>
  <c r="Q153" i="6"/>
  <c r="J153" i="6"/>
  <c r="Q152" i="6"/>
  <c r="J152" i="6"/>
  <c r="Q151" i="6"/>
  <c r="J151" i="6"/>
  <c r="Q150" i="6"/>
  <c r="J150" i="6"/>
  <c r="Q149" i="6"/>
  <c r="J149" i="6"/>
  <c r="Q148" i="6"/>
  <c r="J148" i="6"/>
  <c r="Q147" i="6"/>
  <c r="J147" i="6"/>
  <c r="Q146" i="6"/>
  <c r="J146" i="6"/>
  <c r="Q145" i="6"/>
  <c r="J145" i="6"/>
  <c r="Q144" i="6"/>
  <c r="J144" i="6"/>
  <c r="Q143" i="6"/>
  <c r="J143" i="6"/>
  <c r="Q142" i="6"/>
  <c r="J142" i="6"/>
  <c r="Q141" i="6"/>
  <c r="J141" i="6"/>
  <c r="Q140" i="6"/>
  <c r="J140" i="6"/>
  <c r="Q139" i="6"/>
  <c r="J139" i="6"/>
  <c r="Q138" i="6"/>
  <c r="J138" i="6"/>
  <c r="Q137" i="6"/>
  <c r="J137" i="6"/>
  <c r="Q136" i="6"/>
  <c r="J136" i="6"/>
  <c r="Q135" i="6"/>
  <c r="J135" i="6"/>
  <c r="Q134" i="6"/>
  <c r="J134" i="6"/>
  <c r="Q133" i="6"/>
  <c r="J133" i="6"/>
  <c r="Q132" i="6"/>
  <c r="J132" i="6"/>
  <c r="Q131" i="6"/>
  <c r="J131" i="6"/>
  <c r="Q130" i="6"/>
  <c r="J130" i="6"/>
  <c r="Q129" i="6"/>
  <c r="J129" i="6"/>
  <c r="Q128" i="6"/>
  <c r="J128" i="6"/>
  <c r="Q127" i="6"/>
  <c r="J127" i="6"/>
  <c r="Q126" i="6"/>
  <c r="J126" i="6"/>
  <c r="Q125" i="6"/>
  <c r="J125" i="6"/>
  <c r="Q124" i="6"/>
  <c r="J124" i="6"/>
  <c r="Q123" i="6"/>
  <c r="J123" i="6"/>
  <c r="Q122" i="6"/>
  <c r="J122" i="6"/>
  <c r="Q121" i="6"/>
  <c r="J121" i="6"/>
  <c r="Q120" i="6"/>
  <c r="J120" i="6"/>
  <c r="Q119" i="6"/>
  <c r="J119" i="6"/>
  <c r="Q118" i="6"/>
  <c r="J118" i="6"/>
  <c r="Q117" i="6"/>
  <c r="J117" i="6"/>
  <c r="Q116" i="6"/>
  <c r="J116" i="6"/>
  <c r="Q115" i="6"/>
  <c r="J115" i="6"/>
  <c r="Q114" i="6"/>
  <c r="J114" i="6"/>
  <c r="Q113" i="6"/>
  <c r="J113" i="6"/>
  <c r="Q112" i="6"/>
  <c r="J112" i="6"/>
  <c r="Q111" i="6"/>
  <c r="J111" i="6"/>
  <c r="Q110" i="6"/>
  <c r="J110" i="6"/>
  <c r="Q109" i="6"/>
  <c r="J109" i="6"/>
  <c r="Q108" i="6"/>
  <c r="J108" i="6"/>
  <c r="Q107" i="6"/>
  <c r="J107" i="6"/>
  <c r="Q106" i="6"/>
  <c r="J106" i="6"/>
  <c r="Q105" i="6"/>
  <c r="J105" i="6"/>
  <c r="Q104" i="6"/>
  <c r="J104" i="6"/>
  <c r="Q103" i="6"/>
  <c r="J103" i="6"/>
  <c r="Q102" i="6"/>
  <c r="J102" i="6"/>
  <c r="Q101" i="6"/>
  <c r="J101" i="6"/>
  <c r="Q100" i="6"/>
  <c r="J100" i="6"/>
  <c r="Q99" i="6"/>
  <c r="J99" i="6"/>
  <c r="Q98" i="6"/>
  <c r="J98" i="6"/>
  <c r="Q97" i="6"/>
  <c r="J97" i="6"/>
  <c r="Q96" i="6"/>
  <c r="J96" i="6"/>
  <c r="Q95" i="6"/>
  <c r="J95" i="6"/>
  <c r="Q94" i="6"/>
  <c r="J94" i="6"/>
  <c r="Q93" i="6"/>
  <c r="J93" i="6"/>
  <c r="Q92" i="6"/>
  <c r="J92" i="6"/>
  <c r="Q91" i="6"/>
  <c r="J91" i="6"/>
  <c r="Q90" i="6"/>
  <c r="J90" i="6"/>
  <c r="Q89" i="6"/>
  <c r="J89" i="6"/>
  <c r="Q88" i="6"/>
  <c r="J88" i="6"/>
  <c r="Q87" i="6"/>
  <c r="J87" i="6"/>
  <c r="Q86" i="6"/>
  <c r="J86" i="6"/>
  <c r="Q85" i="6"/>
  <c r="J85" i="6"/>
  <c r="Q84" i="6"/>
  <c r="J84" i="6"/>
  <c r="Q83" i="6"/>
  <c r="J83" i="6"/>
  <c r="Q82" i="6"/>
  <c r="J82" i="6"/>
  <c r="Q81" i="6"/>
  <c r="J81" i="6"/>
  <c r="Q80" i="6"/>
  <c r="J80" i="6"/>
  <c r="Q79" i="6"/>
  <c r="J79" i="6"/>
  <c r="Q78" i="6"/>
  <c r="J78" i="6"/>
  <c r="Q77" i="6"/>
  <c r="J77" i="6"/>
  <c r="Q76" i="6"/>
  <c r="J76" i="6"/>
  <c r="Q75" i="6"/>
  <c r="J75" i="6"/>
  <c r="Q74" i="6"/>
  <c r="J74" i="6"/>
  <c r="Q73" i="6"/>
  <c r="J73" i="6"/>
  <c r="Q72" i="6"/>
  <c r="J72" i="6"/>
  <c r="Q71" i="6"/>
  <c r="J71" i="6"/>
  <c r="Q70" i="6"/>
  <c r="J70" i="6"/>
  <c r="Q69" i="6"/>
  <c r="J69" i="6"/>
  <c r="Q68" i="6"/>
  <c r="J68" i="6"/>
  <c r="Q67" i="6"/>
  <c r="J67" i="6"/>
  <c r="Q66" i="6"/>
  <c r="J66" i="6"/>
  <c r="Q65" i="6"/>
  <c r="J65" i="6"/>
  <c r="Q64" i="6"/>
  <c r="J64" i="6"/>
  <c r="Q63" i="6"/>
  <c r="J63" i="6"/>
  <c r="Q62" i="6"/>
  <c r="J62" i="6"/>
  <c r="Q61" i="6"/>
  <c r="J61" i="6"/>
  <c r="Q60" i="6"/>
  <c r="J60" i="6"/>
  <c r="Q59" i="6"/>
  <c r="J59" i="6"/>
  <c r="Q58" i="6"/>
  <c r="J58" i="6"/>
  <c r="Q57" i="6"/>
  <c r="J57" i="6"/>
  <c r="Q56" i="6"/>
  <c r="J56" i="6"/>
  <c r="Q55" i="6"/>
  <c r="J55" i="6"/>
  <c r="Q54" i="6"/>
  <c r="J54" i="6"/>
  <c r="Q53" i="6"/>
  <c r="J53" i="6"/>
  <c r="Q52" i="6"/>
  <c r="J52" i="6"/>
  <c r="Q51" i="6"/>
  <c r="J51" i="6"/>
  <c r="Q50" i="6"/>
  <c r="J50" i="6"/>
  <c r="Q49" i="6"/>
  <c r="J49" i="6"/>
  <c r="Q48" i="6"/>
  <c r="J48" i="6"/>
  <c r="Q47" i="6"/>
  <c r="J47" i="6"/>
  <c r="Q46" i="6"/>
  <c r="J46" i="6"/>
  <c r="Q45" i="6"/>
  <c r="J45" i="6"/>
  <c r="Q44" i="6"/>
  <c r="J44" i="6"/>
  <c r="Q43" i="6"/>
  <c r="J43" i="6"/>
  <c r="Q42" i="6"/>
  <c r="J42" i="6"/>
  <c r="Q41" i="6"/>
  <c r="J41" i="6"/>
  <c r="Q40" i="6"/>
  <c r="J40" i="6"/>
  <c r="Q39" i="6"/>
  <c r="J39" i="6"/>
  <c r="Q38" i="6"/>
  <c r="J38" i="6"/>
  <c r="Q37" i="6"/>
  <c r="J37" i="6"/>
  <c r="Q36" i="6"/>
  <c r="J36" i="6"/>
  <c r="Q35" i="6"/>
  <c r="J35" i="6"/>
  <c r="Q34" i="6"/>
  <c r="J34" i="6"/>
  <c r="Q33" i="6"/>
  <c r="J33" i="6"/>
  <c r="Q32" i="6"/>
  <c r="J32" i="6"/>
  <c r="Q31" i="6"/>
  <c r="J31" i="6"/>
  <c r="Q30" i="6"/>
  <c r="J30" i="6"/>
  <c r="Q29" i="6"/>
  <c r="J29" i="6"/>
  <c r="Q28" i="6"/>
  <c r="J28" i="6"/>
  <c r="Q27" i="6"/>
  <c r="J27" i="6"/>
  <c r="Q26" i="6"/>
  <c r="J26" i="6"/>
  <c r="Q25" i="6"/>
  <c r="J25" i="6"/>
  <c r="Q24" i="6"/>
  <c r="J24" i="6"/>
  <c r="Q23" i="6"/>
  <c r="J23" i="6"/>
  <c r="Q22" i="6"/>
  <c r="J22" i="6"/>
  <c r="Q21" i="6"/>
  <c r="J21" i="6"/>
  <c r="Q20" i="6"/>
  <c r="J20" i="6"/>
  <c r="Q19" i="6"/>
  <c r="J19" i="6"/>
  <c r="Q18" i="6"/>
  <c r="J18" i="6"/>
  <c r="Q17" i="6"/>
  <c r="J17" i="6"/>
  <c r="Q16" i="6"/>
  <c r="J16" i="6"/>
  <c r="Q15" i="6"/>
  <c r="J15" i="6"/>
  <c r="Q14" i="6"/>
  <c r="J14" i="6"/>
  <c r="Q13" i="6"/>
  <c r="Q12" i="6"/>
  <c r="J12" i="6"/>
  <c r="Q11" i="6"/>
  <c r="J11" i="6"/>
  <c r="Q10" i="6"/>
  <c r="J10" i="6"/>
  <c r="Q9" i="6"/>
  <c r="J9" i="6"/>
  <c r="Q8" i="6"/>
  <c r="J8" i="6"/>
  <c r="Q7" i="6"/>
  <c r="J7" i="6"/>
  <c r="Q6" i="6"/>
  <c r="J6" i="6"/>
  <c r="Q5" i="6"/>
  <c r="J5" i="6"/>
  <c r="Q4" i="6"/>
  <c r="J4" i="6"/>
  <c r="Q3" i="6"/>
  <c r="J3" i="6"/>
  <c r="Q2" i="6"/>
  <c r="J2" i="6"/>
  <c r="W1" i="6"/>
  <c r="C1" i="6"/>
  <c r="B1" i="6"/>
  <c r="C20" i="5"/>
  <c r="C19" i="5"/>
  <c r="B2" i="5"/>
  <c r="D1" i="4"/>
  <c r="Q32" i="10"/>
  <c r="Q24" i="10"/>
  <c r="Q12" i="10"/>
  <c r="Q4" i="10"/>
  <c r="Q71" i="9"/>
  <c r="Q59" i="9"/>
  <c r="Q47" i="9"/>
  <c r="Q37" i="9"/>
  <c r="Q25" i="9"/>
  <c r="Q11" i="9"/>
  <c r="Q3" i="9"/>
  <c r="Q100" i="8"/>
  <c r="Q92" i="8"/>
  <c r="Q84" i="8"/>
  <c r="Q74" i="8"/>
  <c r="Q66" i="8"/>
  <c r="Q58" i="8"/>
  <c r="Q48" i="8"/>
  <c r="Q40" i="8"/>
  <c r="Q32" i="8"/>
  <c r="Q24" i="8"/>
  <c r="Q67" i="8"/>
  <c r="Q47" i="8"/>
  <c r="Q106" i="8"/>
  <c r="Q37" i="10"/>
  <c r="Q7" i="10"/>
  <c r="Q70" i="9"/>
  <c r="Q42" i="9"/>
  <c r="Q26" i="9"/>
  <c r="Q4" i="9"/>
  <c r="Q89" i="8"/>
  <c r="Q69" i="8"/>
  <c r="Q45" i="8"/>
  <c r="Q21" i="8"/>
  <c r="Q21" i="10"/>
  <c r="Q5" i="10"/>
  <c r="Q66" i="9"/>
  <c r="Q52" i="9"/>
  <c r="Q32" i="9"/>
  <c r="Q16" i="9"/>
  <c r="Q103" i="8"/>
  <c r="Q81" i="8"/>
  <c r="Q49" i="8"/>
  <c r="Q40" i="10"/>
  <c r="Q16" i="10"/>
  <c r="Q79" i="9"/>
  <c r="Q53" i="9"/>
  <c r="Q31" i="9"/>
  <c r="Q7" i="9"/>
  <c r="Q96" i="8"/>
  <c r="Q70" i="8"/>
  <c r="Q52" i="8"/>
  <c r="Q36" i="8"/>
  <c r="Q83" i="8"/>
  <c r="Q29" i="8"/>
  <c r="Q19" i="10"/>
  <c r="Q54" i="9"/>
  <c r="Q14" i="9"/>
  <c r="Q79" i="8"/>
  <c r="Q33" i="8"/>
  <c r="Q13" i="10"/>
  <c r="Q60" i="9"/>
  <c r="Q24" i="9"/>
  <c r="Q95" i="8"/>
  <c r="Q31" i="8"/>
  <c r="Q26" i="10"/>
  <c r="Q6" i="10"/>
  <c r="Q61" i="9"/>
  <c r="Q39" i="9"/>
  <c r="Q15" i="9"/>
  <c r="Q102" i="8"/>
  <c r="Q86" i="8"/>
  <c r="Q68" i="8"/>
  <c r="Q50" i="8"/>
  <c r="Q34" i="8"/>
  <c r="Q73" i="8"/>
  <c r="Q23" i="8"/>
  <c r="Q11" i="10"/>
  <c r="Q50" i="9"/>
  <c r="Q10" i="9"/>
  <c r="Q75" i="8"/>
  <c r="Q27" i="8"/>
  <c r="Q9" i="10"/>
  <c r="Q36" i="9"/>
  <c r="Q111" i="8"/>
  <c r="Q65" i="8"/>
  <c r="Q30" i="10"/>
  <c r="Q22" i="10"/>
  <c r="Q10" i="10"/>
  <c r="Q81" i="9"/>
  <c r="Q69" i="9"/>
  <c r="Q57" i="9"/>
  <c r="Q45" i="9"/>
  <c r="Q35" i="9"/>
  <c r="Q23" i="9"/>
  <c r="Q9" i="9"/>
  <c r="Q113" i="8"/>
  <c r="Q98" i="8"/>
  <c r="Q90" i="8"/>
  <c r="Q82" i="8"/>
  <c r="Q72" i="8"/>
  <c r="Q64" i="8"/>
  <c r="Q54" i="8"/>
  <c r="Q46" i="8"/>
  <c r="Q38" i="8"/>
  <c r="Q30" i="8"/>
  <c r="Q22" i="8"/>
  <c r="Q63" i="8"/>
  <c r="Q41" i="8"/>
  <c r="Q112" i="8"/>
  <c r="Q23" i="10"/>
  <c r="Q3" i="10"/>
  <c r="Q62" i="9"/>
  <c r="Q38" i="9"/>
  <c r="Q18" i="9"/>
  <c r="Q107" i="8"/>
  <c r="Q85" i="8"/>
  <c r="Q61" i="8"/>
  <c r="Q39" i="8"/>
  <c r="Q110" i="8"/>
  <c r="Q17" i="10"/>
  <c r="Q80" i="9"/>
  <c r="Q64" i="9"/>
  <c r="Q44" i="9"/>
  <c r="Q28" i="9"/>
  <c r="Q12" i="9"/>
  <c r="Q99" i="8"/>
  <c r="Q77" i="8"/>
  <c r="Q37" i="8"/>
  <c r="Q28" i="10"/>
  <c r="Q8" i="10"/>
  <c r="Q65" i="9"/>
  <c r="Q43" i="9"/>
  <c r="Q19" i="9"/>
  <c r="Q109" i="8"/>
  <c r="Q88" i="8"/>
  <c r="Q80" i="8"/>
  <c r="Q62" i="8"/>
  <c r="Q44" i="8"/>
  <c r="Q28" i="8"/>
  <c r="Q59" i="8"/>
  <c r="Q108" i="8"/>
  <c r="Q82" i="9"/>
  <c r="Q34" i="9"/>
  <c r="Q101" i="8"/>
  <c r="Q57" i="8"/>
  <c r="Q10" i="8"/>
  <c r="Q76" i="9"/>
  <c r="Q40" i="9"/>
  <c r="Q8" i="9"/>
  <c r="Q71" i="8"/>
  <c r="Q34" i="10"/>
  <c r="Q14" i="10"/>
  <c r="Q77" i="9"/>
  <c r="Q49" i="9"/>
  <c r="Q29" i="9"/>
  <c r="Q5" i="9"/>
  <c r="Q94" i="8"/>
  <c r="Q78" i="8"/>
  <c r="Q60" i="8"/>
  <c r="Q42" i="8"/>
  <c r="Q26" i="8"/>
  <c r="Q53" i="8"/>
  <c r="Q13" i="8"/>
  <c r="Q74" i="9"/>
  <c r="Q30" i="9"/>
  <c r="Q97" i="8"/>
  <c r="Q51" i="8"/>
  <c r="Q39" i="10"/>
  <c r="Q72" i="9"/>
  <c r="Q56" i="9"/>
  <c r="Q20" i="9"/>
  <c r="Q87" i="8"/>
  <c r="Q25"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X1" authorId="0" shapeId="0" xr:uid="{00000000-0006-0000-0600-000001000000}">
      <text>
        <r>
          <rPr>
            <sz val="11"/>
            <color rgb="FF000000"/>
            <rFont val="Calibri"/>
          </rPr>
          <t>Hari Thapliyal:
When content is good but record quality is bad.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300-000001000000}">
      <text>
        <r>
          <rPr>
            <sz val="11"/>
            <color rgb="FF000000"/>
            <rFont val="Calibri"/>
          </rPr>
          <t>In your worksheet, use these keywords for tagging purpose.
	-Hari Thapliyal</t>
        </r>
      </text>
    </comment>
    <comment ref="C1" authorId="0" shapeId="0" xr:uid="{00000000-0006-0000-0300-000002000000}">
      <text>
        <r>
          <rPr>
            <sz val="11"/>
            <color rgb="FF000000"/>
            <rFont val="Calibri"/>
          </rPr>
          <t>Write Parent Keyword only if it exists for Keyword else it it blank.
	-Hari Thapliyal</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X1" authorId="0" shapeId="0" xr:uid="{00000000-0006-0000-0500-000001000000}">
      <text>
        <r>
          <rPr>
            <sz val="11"/>
            <color rgb="FF000000"/>
            <rFont val="Calibri"/>
          </rPr>
          <t>Hari Thapliyal:
When content is good but record quality is bad.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X1" authorId="0" shapeId="0" xr:uid="{00000000-0006-0000-0700-000001000000}">
      <text>
        <r>
          <rPr>
            <sz val="11"/>
            <color rgb="FF000000"/>
            <rFont val="Calibri"/>
          </rPr>
          <t>Hari Thapliyal:
When content is good but record quality is bad.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X1" authorId="0" shapeId="0" xr:uid="{00000000-0006-0000-0800-000001000000}">
      <text>
        <r>
          <rPr>
            <sz val="11"/>
            <color rgb="FF000000"/>
            <rFont val="Calibri"/>
          </rPr>
          <t>Hari Thapliyal:
When content is good but record quality is bad.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X1" authorId="0" shapeId="0" xr:uid="{00000000-0006-0000-0900-000001000000}">
      <text>
        <r>
          <rPr>
            <sz val="11"/>
            <color rgb="FF000000"/>
            <rFont val="Calibri"/>
          </rPr>
          <t>Hari Thapliyal:
When content is good but record quality is bad.</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X1" authorId="0" shapeId="0" xr:uid="{00000000-0006-0000-0A00-000001000000}">
      <text>
        <r>
          <rPr>
            <sz val="11"/>
            <color rgb="FF000000"/>
            <rFont val="Calibri"/>
          </rPr>
          <t>Hari Thapliyal:
When content is good but record quality is bad.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X1" authorId="0" shapeId="0" xr:uid="{00000000-0006-0000-0B00-000001000000}">
      <text>
        <r>
          <rPr>
            <sz val="11"/>
            <color rgb="FF000000"/>
            <rFont val="Calibri"/>
          </rPr>
          <t>Hari Thapliyal:
When content is good but record quality is bad.</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X1" authorId="0" shapeId="0" xr:uid="{00000000-0006-0000-0C00-000001000000}">
      <text>
        <r>
          <rPr>
            <sz val="11"/>
            <color rgb="FF000000"/>
            <rFont val="Calibri"/>
          </rPr>
          <t>Hari Thapliyal:
When content is good but record quality is bad.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
  </authors>
  <commentList>
    <comment ref="X1" authorId="0" shapeId="0" xr:uid="{00000000-0006-0000-0D00-000001000000}">
      <text>
        <r>
          <rPr>
            <sz val="11"/>
            <color rgb="FF000000"/>
            <rFont val="Calibri"/>
          </rPr>
          <t>Hari Thapliyal:
When content is good but record quality is bad.</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
  </authors>
  <commentList>
    <comment ref="X1" authorId="0" shapeId="0" xr:uid="{00000000-0006-0000-0E00-000001000000}">
      <text>
        <r>
          <rPr>
            <sz val="11"/>
            <color rgb="FF000000"/>
            <rFont val="Calibri"/>
          </rPr>
          <t>Hari Thapliyal:
When content is good but record quality is bad.</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
  </authors>
  <commentList>
    <comment ref="X1" authorId="0" shapeId="0" xr:uid="{00000000-0006-0000-0F00-000001000000}">
      <text>
        <r>
          <rPr>
            <sz val="11"/>
            <color rgb="FF000000"/>
            <rFont val="Calibri"/>
          </rPr>
          <t>Hari Thapliyal:
When content is good but record quality is bad.</t>
        </r>
      </text>
    </comment>
  </commentList>
</comments>
</file>

<file path=xl/sharedStrings.xml><?xml version="1.0" encoding="utf-8"?>
<sst xmlns="http://schemas.openxmlformats.org/spreadsheetml/2006/main" count="8629" uniqueCount="2405">
  <si>
    <t>Project Name</t>
  </si>
  <si>
    <t>Develop Educational Video Clips of RM Video Work</t>
  </si>
  <si>
    <t>Project Code</t>
  </si>
  <si>
    <t>DEVC-RMVW</t>
  </si>
  <si>
    <t>Project Manager</t>
  </si>
  <si>
    <t>Mr. Hari Thapliyal</t>
  </si>
  <si>
    <t>Project Sponsor</t>
  </si>
  <si>
    <t>Mr. Rajiv Malhotra</t>
  </si>
  <si>
    <t>Team Members</t>
  </si>
  <si>
    <t>#</t>
  </si>
  <si>
    <t>Name</t>
  </si>
  <si>
    <t>Location</t>
  </si>
  <si>
    <t>Email</t>
  </si>
  <si>
    <t>Phone</t>
  </si>
  <si>
    <t>Project Skills</t>
  </si>
  <si>
    <t>HT- Hari Thapliyal</t>
  </si>
  <si>
    <t>Bangalore</t>
  </si>
  <si>
    <t>hari.prasad@vedavit-ps.com</t>
  </si>
  <si>
    <t>(+91) 9535999336</t>
  </si>
  <si>
    <t>Video clipping</t>
  </si>
  <si>
    <t>JB- Jayanthi Badrinath</t>
  </si>
  <si>
    <t>jayanthib@gmail.com</t>
  </si>
  <si>
    <t>(+91) 99452 43966​⁠​</t>
  </si>
  <si>
    <t>SP- Shalini Puthiyedam</t>
  </si>
  <si>
    <t>puthiyedam.shalini@gmail.com</t>
  </si>
  <si>
    <t>(+91) 95661 07755</t>
  </si>
  <si>
    <t>RKT- Rajshree KT</t>
  </si>
  <si>
    <t>Hyderabad</t>
  </si>
  <si>
    <t>Rajshree.kt@gmail.com</t>
  </si>
  <si>
    <t>(+91) 99592 09000</t>
  </si>
  <si>
    <t>BM-Bryan Maiorana</t>
  </si>
  <si>
    <t>New Jersey</t>
  </si>
  <si>
    <t>bryanm.infinity@gmail.com</t>
  </si>
  <si>
    <t>(+1) (609) 475-2399</t>
  </si>
  <si>
    <t>Creating physical clip, video making</t>
  </si>
  <si>
    <t>YP-Yagnesh Patel</t>
  </si>
  <si>
    <t>yptel27@gmail.com</t>
  </si>
  <si>
    <t>(+1) 847 691 1497</t>
  </si>
  <si>
    <t>Moodle Support, Video Editing</t>
  </si>
  <si>
    <t>ND-Navneet Dronamraju</t>
  </si>
  <si>
    <t>23.navneet@gmail.com</t>
  </si>
  <si>
    <t>KS-Kumar Sambhu</t>
  </si>
  <si>
    <t>vksambhu@gmail.com</t>
  </si>
  <si>
    <t>US-Udit Shah</t>
  </si>
  <si>
    <t>udit56@gmail.com</t>
  </si>
  <si>
    <t>Video Editing</t>
  </si>
  <si>
    <t>HM-Hiten Makwana</t>
  </si>
  <si>
    <t>hiten.makwana@gmail.com</t>
  </si>
  <si>
    <t>MS - Mahesh Srigiriraju</t>
  </si>
  <si>
    <t>Lafayette, LA</t>
  </si>
  <si>
    <t>mahesh.srigiriraju@gmail.com</t>
  </si>
  <si>
    <t>(+1) 347 583 7349</t>
  </si>
  <si>
    <t>Ravi</t>
  </si>
  <si>
    <t>Moodle Support</t>
  </si>
  <si>
    <t>Shravan</t>
  </si>
  <si>
    <t>Resource Required</t>
  </si>
  <si>
    <t>Social media marketing</t>
  </si>
  <si>
    <t>Objective</t>
  </si>
  <si>
    <t>To create a knowledge base (KB) of education videos from already existing YouTube videos of RM Channel</t>
  </si>
  <si>
    <t>Share these videos on RM Facebook &amp; RM Twitter account</t>
  </si>
  <si>
    <t>High Level Plan</t>
  </si>
  <si>
    <t>Create a list of all the videos.</t>
  </si>
  <si>
    <t>Assign these videos between team members to watch and extract knowledge. Knowledge may be in the QA or just an assertion in some video. We call this each knowledge unit a Topic</t>
  </si>
  <si>
    <t>Mark the start and end time for each topic. This is called clip</t>
  </si>
  <si>
    <t>Establish a Topic heading and topic description for each clip</t>
  </si>
  <si>
    <t>If audio/video quality is not good but content is good then we need to mark the video as "Recreate" from raw video</t>
  </si>
  <si>
    <t>If audio/video quality is not good but content is good and AV cannot be improved from raw video then mark it to "Re-Record"</t>
  </si>
  <si>
    <t>If audio/video quality is good but content is not ok then mark the video as not suitable for knowledge base</t>
  </si>
  <si>
    <t>If audio/video quality is good, content is good but video size is long then clip the video into multiple clips</t>
  </si>
  <si>
    <t>if audio/video quality is good, content is good, video size is appropriate but Heading or Description is not appropriate then write new heading and description</t>
  </si>
  <si>
    <t>If content is good and audio/video cannot be improved then market the clip as logical clip. And re-record the clip with the help of RM</t>
  </si>
  <si>
    <t>If content is not good then Ignore working on this video and mark it as not suitable for Knowledge Base</t>
  </si>
  <si>
    <t>Each topic need to have a clearly defined topic heading for the SEO &amp; Knowledge repository purpose</t>
  </si>
  <si>
    <t>Project Related Definition</t>
  </si>
  <si>
    <t>Theme: Big Idea. Like Breaking India, Being Different.</t>
  </si>
  <si>
    <t>Chapter : Medium size idea. Like Dravidian Christian, Open Architecture, Cultural Digestion.</t>
  </si>
  <si>
    <t>Topic : It is complete unit of knowledge in itself. Without depending on any other knowledge unit. Every clip will have a topic. Every topic will be recognized by its heading.</t>
  </si>
  <si>
    <t>Heading : 2-10 words long. It works as a seed for SEO &amp; SEM.</t>
  </si>
  <si>
    <t>Master List : List of All RM Videos which has unique number identified for each video.</t>
  </si>
  <si>
    <t>Workbook: For every major task there should be separate excel "workbook".</t>
  </si>
  <si>
    <t>Workbook must have minimum 3 worksheets. One "Work Process" Two- "Work Status" Three-"Charter"</t>
  </si>
  <si>
    <t>"Work Status" is based on master list.</t>
  </si>
  <si>
    <t>Each column in the "Work Status" worksheet represent the attribute of that task and its status.</t>
  </si>
  <si>
    <t>Work Process: The process of that Task must be clearly defined in this sheet.</t>
  </si>
  <si>
    <t>Charter: The purpose of the task need to be defined in a specific format.</t>
  </si>
  <si>
    <t>Start Date</t>
  </si>
  <si>
    <t>Finish Date</t>
  </si>
  <si>
    <t>Final Status</t>
  </si>
  <si>
    <t>AV Quality</t>
  </si>
  <si>
    <t>Content Quality</t>
  </si>
  <si>
    <t>Content Editor</t>
  </si>
  <si>
    <t>Video Editor</t>
  </si>
  <si>
    <t>Course Name</t>
  </si>
  <si>
    <t>WIP-Content</t>
  </si>
  <si>
    <t>Good</t>
  </si>
  <si>
    <t>Course Design Owner</t>
  </si>
  <si>
    <t>Purva Paksha - An Introduction</t>
  </si>
  <si>
    <t>HT</t>
  </si>
  <si>
    <t>ND</t>
  </si>
  <si>
    <t>Insiders vs Outsiders - An Introduction</t>
  </si>
  <si>
    <t>Intellectual Kurukshetra - An Introduction</t>
  </si>
  <si>
    <t>Swadeshi Indology - An Introduction</t>
  </si>
  <si>
    <t>YP</t>
  </si>
  <si>
    <t>Hinduphobia</t>
  </si>
  <si>
    <t>India’s Grand Narrative</t>
  </si>
  <si>
    <t>Digestion - A New Definition</t>
  </si>
  <si>
    <t>U-Turn Theory</t>
  </si>
  <si>
    <t>Purva Paksha (Part II)</t>
  </si>
  <si>
    <t>BM</t>
  </si>
  <si>
    <t>Insider vs Outsider (Part II)</t>
  </si>
  <si>
    <t>Intellectual Kurukshetra (Part II)</t>
  </si>
  <si>
    <t>Swadeshi Indology (Part II)</t>
  </si>
  <si>
    <t>Digestion (Part II)</t>
  </si>
  <si>
    <t>Insiders vs Outsider (Part III)</t>
  </si>
  <si>
    <t>BM- Bryan Maiorana</t>
  </si>
  <si>
    <t>WIP-Video</t>
  </si>
  <si>
    <t>Average</t>
  </si>
  <si>
    <t>Bad</t>
  </si>
  <si>
    <t>JB</t>
  </si>
  <si>
    <t>ND- Navneet Dronamraju</t>
  </si>
  <si>
    <t>Done-Content</t>
  </si>
  <si>
    <t>No Msg</t>
  </si>
  <si>
    <t>RKT</t>
  </si>
  <si>
    <t>RS- Rajshree KT</t>
  </si>
  <si>
    <t>Done-Video</t>
  </si>
  <si>
    <t>KS</t>
  </si>
  <si>
    <t>Re-record</t>
  </si>
  <si>
    <t>US</t>
  </si>
  <si>
    <t>Drop</t>
  </si>
  <si>
    <t>HM</t>
  </si>
  <si>
    <t>Uploaded in YT</t>
  </si>
  <si>
    <t>MS</t>
  </si>
  <si>
    <t>Good Quality, Less Viewed or Upload Long back can be replayed when new content cannot be created</t>
  </si>
  <si>
    <t>Wherever Descriptionis empty, it can be copied from Clip Title</t>
  </si>
  <si>
    <t>Keywords</t>
  </si>
  <si>
    <t>Parent Keyword</t>
  </si>
  <si>
    <t>Adhyatma Vidya</t>
  </si>
  <si>
    <t>Atrocity Literature</t>
  </si>
  <si>
    <t>Breaking India forces</t>
  </si>
  <si>
    <t>Christian Yoga</t>
  </si>
  <si>
    <t>De-Colonization</t>
  </si>
  <si>
    <t>Difference Anxiety</t>
  </si>
  <si>
    <t>Digestion</t>
  </si>
  <si>
    <t>Embodied Knowing</t>
  </si>
  <si>
    <t>Forest Civilization &amp; Desert Civilization</t>
  </si>
  <si>
    <t>Good Cops &amp; Bad Cops</t>
  </si>
  <si>
    <t>History-centrism</t>
  </si>
  <si>
    <t>Home Team</t>
  </si>
  <si>
    <t>Inculturation</t>
  </si>
  <si>
    <t>Indian Grand Narrative</t>
  </si>
  <si>
    <t>Indra’s Net</t>
  </si>
  <si>
    <t>Insiders &amp; Outsiders</t>
  </si>
  <si>
    <t>Integral Unity &amp; Synthetic Unity</t>
  </si>
  <si>
    <t>Intellectual kshatriyas</t>
  </si>
  <si>
    <t>Kurukshetra</t>
  </si>
  <si>
    <t>Moron Smriti</t>
  </si>
  <si>
    <t>Mutual Respect</t>
  </si>
  <si>
    <t>Non-Translatables</t>
  </si>
  <si>
    <t>Open Architecture</t>
  </si>
  <si>
    <t>Our Yajna</t>
  </si>
  <si>
    <t>Poison Pills</t>
  </si>
  <si>
    <t>Purva-paksha</t>
  </si>
  <si>
    <t>Reversing the Gaze</t>
  </si>
  <si>
    <t>Sameness</t>
  </si>
  <si>
    <t>Sepoys</t>
  </si>
  <si>
    <t>Svadharma</t>
  </si>
  <si>
    <t>Swadeshi Indology &amp; Videshi Indology</t>
  </si>
  <si>
    <t>U-turn</t>
  </si>
  <si>
    <t>Wendy’s Children</t>
  </si>
  <si>
    <t>Western Universalism</t>
  </si>
  <si>
    <t>New Entries- To be reviewed by Rajivji</t>
  </si>
  <si>
    <t>Caste Cow and Curry</t>
  </si>
  <si>
    <t>Sapeksha dharma</t>
  </si>
  <si>
    <t>Sanskrit non-translatable</t>
  </si>
  <si>
    <t>Order vs Chaos</t>
  </si>
  <si>
    <t>Civilization kurukshetra</t>
  </si>
  <si>
    <t>Rishi potential</t>
  </si>
  <si>
    <t>Neo Hinduism</t>
  </si>
  <si>
    <t>Charvaka 2.0</t>
  </si>
  <si>
    <t>American Orientalism</t>
  </si>
  <si>
    <t>Transactional Hinduism</t>
  </si>
  <si>
    <t>Hindu Good News</t>
  </si>
  <si>
    <t>Media Mafia</t>
  </si>
  <si>
    <t>Porcupine Defense</t>
  </si>
  <si>
    <t>Afro-Dravidian-Dalit Movement</t>
  </si>
  <si>
    <t>Hijacking of Sanskrit</t>
  </si>
  <si>
    <t>Secularization of Sanskrit</t>
  </si>
  <si>
    <t>Politicizing Indian Literature</t>
  </si>
  <si>
    <t>Politicizing History of Sanskrit</t>
  </si>
  <si>
    <t>Ramayan as atrocity literature</t>
  </si>
  <si>
    <t>Sanskrit is dead</t>
  </si>
  <si>
    <t>Political/liberation philology</t>
  </si>
  <si>
    <t>Uttar Paksha</t>
  </si>
  <si>
    <t>Dravidian Christianity</t>
  </si>
  <si>
    <t>Aryan Race invention</t>
  </si>
  <si>
    <t>Dravidian Race Invention</t>
  </si>
  <si>
    <t>Imperial Evangelism</t>
  </si>
  <si>
    <t>Jati/Varna as Race</t>
  </si>
  <si>
    <t>Feeding the crocodiles</t>
  </si>
  <si>
    <t>Instructions</t>
  </si>
  <si>
    <t>DON'T Create copy of this file. Please do not be CREATIVE with this file. This is both project output and project report docment</t>
  </si>
  <si>
    <t>Don't Download/ Upldate this file from/to here</t>
  </si>
  <si>
    <t>How to start the work on any video (All Team Members)</t>
  </si>
  <si>
    <t>Search video in "MasterList" sheet</t>
  </si>
  <si>
    <t>Update "Content owner" column</t>
  </si>
  <si>
    <t>Update "Final status" = "Content-WIP"</t>
  </si>
  <si>
    <t>Update "Work Date"= Today's date in DD-MMM-YY format</t>
  </si>
  <si>
    <t>Copy entire row of that video into your sheet</t>
  </si>
  <si>
    <t>Do not modify ANY existing information of this copied row</t>
  </si>
  <si>
    <t>Create your own row under this if you want to create clip</t>
  </si>
  <si>
    <t>Enter time in hh:mm:ss format for example clip 0:3:40 to 0:5:20 mean 3 min 40 sec (start) to 5 min 20 sec (end)</t>
  </si>
  <si>
    <t>"Clip Title" lenght should be in 5-10 words range. This is used for SEO purpose, therefore it should have Noun &amp; Verbs and Minimum usage of other kind of words.</t>
  </si>
  <si>
    <t>Content team should update on the column of this color</t>
  </si>
  <si>
    <t>Video team should update only the column of this color</t>
  </si>
  <si>
    <t>SEO/Marketing team should update only the column of this color</t>
  </si>
  <si>
    <t>Reuse of old content Team should USE this column to TAKE action</t>
  </si>
  <si>
    <t>Update "Work Date"= Today's date in DD-MMM-YY format in your clip row</t>
  </si>
  <si>
    <t>For working, use the older video first. So follow the order of videos, do not jump much in sequence. Little bit based on the interest is ok.</t>
  </si>
  <si>
    <t>Do not create any new column or write anything in jargon in your worksheet. We use the information here to update "Final" sheet</t>
  </si>
  <si>
    <t>When clipping work is done, then go and update "Final-Status" = Content-Done in the "MasterList" worksheet also</t>
  </si>
  <si>
    <t>How to update the final sheet (by Hari)</t>
  </si>
  <si>
    <t>Video URL</t>
  </si>
  <si>
    <t>Once team member mention his/her logical video cliping work is done, Final Status="Done Content". After that Hari will copy that row of team-member's work into "Final" sheet</t>
  </si>
  <si>
    <t>Video Title</t>
  </si>
  <si>
    <t>Backup (by Hari)</t>
  </si>
  <si>
    <t>Everyday copy file with different date suffix.</t>
  </si>
  <si>
    <t>Offline Working</t>
  </si>
  <si>
    <t>Because of some reasons if you want to work offline then</t>
  </si>
  <si>
    <t>Download your copy on your machine</t>
  </si>
  <si>
    <t>Work only on your sheet.</t>
  </si>
  <si>
    <t>Clip Title</t>
  </si>
  <si>
    <t>Copy and paste only those rows from local sheet to google sheet which you have worked/modified. DON'T over-write this file</t>
  </si>
  <si>
    <t>Description</t>
  </si>
  <si>
    <t>Tags</t>
  </si>
  <si>
    <t>Views as on 10-Sep-17</t>
  </si>
  <si>
    <t>Duration (315 Hours)</t>
  </si>
  <si>
    <t>Posted Date</t>
  </si>
  <si>
    <t xml:space="preserve">Start </t>
  </si>
  <si>
    <t>End</t>
  </si>
  <si>
    <t>Clip Duration</t>
  </si>
  <si>
    <t>Work Date</t>
  </si>
  <si>
    <t>Clip URL</t>
  </si>
  <si>
    <t>Video Quality</t>
  </si>
  <si>
    <t>Audio Quality</t>
  </si>
  <si>
    <t>Raw Footage Available</t>
  </si>
  <si>
    <t>Market Logical Clip</t>
  </si>
  <si>
    <t>Re-Record</t>
  </si>
  <si>
    <t>Editor's Note</t>
  </si>
  <si>
    <t>Remarks</t>
  </si>
  <si>
    <t>https://www.youtube.com/watch?v=RD7JpM4UrUA</t>
  </si>
  <si>
    <t>"Breaking India" book launch - Swami Dayananda Saraswati - Part 1.wmv</t>
  </si>
  <si>
    <t>6 years ago</t>
  </si>
  <si>
    <t>https://www.youtube.com/watch?v=jKuCWHsoXmQ</t>
  </si>
  <si>
    <t>Rajiv Malhotra's Book "Breaking India" Launch by Pujya Swami Dayananda Saraswati - Part 2</t>
  </si>
  <si>
    <t>https://www.youtube.com/watch?v=21ZKFBL-Yc0</t>
  </si>
  <si>
    <t>"Breaking India" book launch - Admiral Nayyar.wmv</t>
  </si>
  <si>
    <t>https://www.youtube.com/watch?v=FytdS2vMJfU</t>
  </si>
  <si>
    <t>Cho Ramaswamy - "Breaking India" Book Launch</t>
  </si>
  <si>
    <t>https://www.youtube.com/watch?v=7WsGnkGob7A</t>
  </si>
  <si>
    <t>"Breaking India" Launch Ritual</t>
  </si>
  <si>
    <t>https://www.youtube.com/watch?v=WU456HIXN5U</t>
  </si>
  <si>
    <t>S. Ramachandran - "Breaking India" Book Launch</t>
  </si>
  <si>
    <t>https://www.youtube.com/watch?v=PcNDlU0LyJk</t>
  </si>
  <si>
    <t>S. Gurumurthy - Chennai Launch of "Breaking India"</t>
  </si>
  <si>
    <t>https://www.youtube.com/watch?v=mjFek0gF97s</t>
  </si>
  <si>
    <t>The Authors Discuss Breaking India</t>
  </si>
  <si>
    <t>https://www.youtube.com/watch?v=0_EJXPWJN4E</t>
  </si>
  <si>
    <t>"Breaking India" Panel #1</t>
  </si>
  <si>
    <t>https://www.youtube.com/watch?v=Kxuiy8OL30w</t>
  </si>
  <si>
    <t>"Breaking India" Panel #6</t>
  </si>
  <si>
    <t>https://www.youtube.com/watch?v=jMgGGixmfus</t>
  </si>
  <si>
    <t>"Breaking India" panel # 4</t>
  </si>
  <si>
    <t>https://www.youtube.com/watch?v=2UnJMns3fjs</t>
  </si>
  <si>
    <t>"Breaking India" panel #8</t>
  </si>
  <si>
    <t>https://www.youtube.com/watch?v=KVDRl_wLqdM</t>
  </si>
  <si>
    <t>"Breaking India" panel #5</t>
  </si>
  <si>
    <t>https://www.youtube.com/watch?v=Smd_3o5vtLo</t>
  </si>
  <si>
    <t>"Breaking India" Panel #2</t>
  </si>
  <si>
    <t>https://www.youtube.com/watch?v=iBwpK4_JtEw</t>
  </si>
  <si>
    <t>"Breaking India" Panel #3</t>
  </si>
  <si>
    <t>https://www.youtube.com/watch?v=NCOKqHoIW7M</t>
  </si>
  <si>
    <t>"Breaking India" Panel #7</t>
  </si>
  <si>
    <t>https://www.youtube.com/watch?v=tkF_3Ixn02I</t>
  </si>
  <si>
    <t>"Breaking India" Panel #9</t>
  </si>
  <si>
    <t>Swami Dayananda Saraswati Ji on the Theory of Invasion</t>
  </si>
  <si>
    <t>Swami Dayananda Saraswati Ji is talking about the book and huge efforts of Rajiv Malhotra in writing this book. He talks about how people madely talking about invasion theory and trying to create conflict in the Indian society. Also talks about Saraswati River.</t>
  </si>
  <si>
    <t>https://www.youtube.com/watch?v=0Y3z-QStbk8</t>
  </si>
  <si>
    <t>"Breaking India" panel #11</t>
  </si>
  <si>
    <t>https://www.youtube.com/watch?v=Wpkt3HpzBTs</t>
  </si>
  <si>
    <t>"Breaking India" panel #10</t>
  </si>
  <si>
    <t>https://www.youtube.com/watch?v=_IcfDP-ezpo</t>
  </si>
  <si>
    <t>Princeton University: Talk by Rajiv Malhotra - Part 1</t>
  </si>
  <si>
    <t>Yes</t>
  </si>
  <si>
    <t>https://www.youtube.com/watch?v=DMG2XD9_nTI</t>
  </si>
  <si>
    <t>Princeton University: Introduction by Vineet Chander</t>
  </si>
  <si>
    <t>Swami Dayananda Saraswati Ji on minority appeasement</t>
  </si>
  <si>
    <t>Majority feels prosecuted. Minority has privileges because of vote bank. Religion is transnational, so Hindus are minority in the world. Religious freedom leading to destruction of mind. Religious minority bluff has to be called. Dalit Samachart is invented recently. Destroying society in the name of religious freedom is not allowed.</t>
  </si>
  <si>
    <t>https://www.youtube.com/watch?v=Uq2PJjcHiqI</t>
  </si>
  <si>
    <t>Princeton University: Talk by Rajiv Malhotra - Part 2</t>
  </si>
  <si>
    <t>Admiral Nayyar on Tolerance &amp; Partition of India</t>
  </si>
  <si>
    <t>Admiral Nayyar says we are product and prisoner of our time. In the name of tolerance we cannot afford to have another partition of this country as it happened in 1947</t>
  </si>
  <si>
    <t>https://www.youtube.com/watch?v=5LJPOCxc3E8</t>
  </si>
  <si>
    <t>Princeton University: Talk by Rajiv Malhotra - Part 3</t>
  </si>
  <si>
    <t>Cho Ramaswamy on Secularism</t>
  </si>
  <si>
    <t>No</t>
  </si>
  <si>
    <t>https://www.youtube.com/watch?v=LdrmgXtd_rs</t>
  </si>
  <si>
    <t>Princeton University: Talk by Reverend Thompson - Part 1</t>
  </si>
  <si>
    <t>NR</t>
  </si>
  <si>
    <t>Msg in Tamil Language. I do not know title!</t>
  </si>
  <si>
    <t>Majority feels prosecuted. Minority has previledges because of vote bank. Religion is transnational, so Hindus are minority in the world. Religious freedom leading to destruction of mind. Religious minority bluff has to be called. Dalit Samachart is invented recently. Destroying society in the name of religious freedom is not allowed.</t>
  </si>
  <si>
    <t>https://www.youtube.com/watch?v=gbWoqwJKhbM</t>
  </si>
  <si>
    <t>Princeton University: Talk by Reverend Thompson - Part 2</t>
  </si>
  <si>
    <t>Title required in English/Hindi</t>
  </si>
  <si>
    <t>S Gurumurthy on Dharma, Secularism, dravidian movement, tiruvallur and Christianity</t>
  </si>
  <si>
    <t>https://www.youtube.com/watch?v=RdBz1kIwrqo</t>
  </si>
  <si>
    <t>Princeton University: Questions and Answers - Part 1</t>
  </si>
  <si>
    <t xml:space="preserve">Aravindan Neelakandan &amp; Rajiv Malhotra on how "Breaking India" book was conceived. </t>
  </si>
  <si>
    <t>Three international nexuses 1- Bahabism vs Indian Islam, 2- China &amp; Maoism 3-Dalit &amp; Christianity are discussed. Dravidian Christianity is also discussed. How can we be model of diversity is being discussed.</t>
  </si>
  <si>
    <t>https://www.youtube.com/watch?v=WsjxXfklatk</t>
  </si>
  <si>
    <t>Princeton University: Questions and Answers Unfortunate Incident</t>
  </si>
  <si>
    <t>Remove noise, if possible.</t>
  </si>
  <si>
    <t>Dravidian Christian Movement in Tamil Nadu</t>
  </si>
  <si>
    <t>https://www.youtube.com/watch?v=N0PD3TuLvoo</t>
  </si>
  <si>
    <t>Princeton University: Questions and Answers - Part 2</t>
  </si>
  <si>
    <t>Some unnecessary music in background. Phone sound.</t>
  </si>
  <si>
    <t>https://www.youtube.com/watch?v=C3_6Ub1GnfA</t>
  </si>
  <si>
    <t>Princeton University: Response by Rajiv Malhotra to Reverend Thompson</t>
  </si>
  <si>
    <t>Focus of "Breaking India" Book as per various well known readers</t>
  </si>
  <si>
    <t xml:space="preserve">Book touches social, cultural narrative. It is not political. </t>
  </si>
  <si>
    <t>Title required in English/Hindi for Tamil testimony. Must play again and again.</t>
  </si>
  <si>
    <t>Impact of Saint Thomas on Tamil Classics</t>
  </si>
  <si>
    <t>Jesus, Vedic culture &amp; diversity</t>
  </si>
  <si>
    <t>https://www.youtube.com/watch?v=dp7l5qmLHJI</t>
  </si>
  <si>
    <t>Princeton University: Reactions After Event</t>
  </si>
  <si>
    <t>If Jesus would have born in India</t>
  </si>
  <si>
    <t>https://www.youtube.com/watch?v=elqL0Sr_sVU</t>
  </si>
  <si>
    <t>Atlanta April 23rd, 2011: Introduction by Krishna Kirti Das, President, The Samprajyna Institute</t>
  </si>
  <si>
    <t>Why "Breaking India" book criticizes Dravidian Movement?</t>
  </si>
  <si>
    <t>Dravidian movement is racist idea of social reforms and does not deliver justice to the all section of society.</t>
  </si>
  <si>
    <t>Three international nexuses 1- Bahabism vs Indian Islam, 2- China &amp; Maoism 3-Dalit &amp; Christianity are disucssed. Dravidian Christianity is also discussed. How can we be model of diversity is being discussed.</t>
  </si>
  <si>
    <t>https://www.youtube.com/watch?v=ryQMb29oX3s</t>
  </si>
  <si>
    <t>Atlanta April 23rd, 2011: Introduction by Dr. Basant K. Tariyal</t>
  </si>
  <si>
    <t>Tamil culture &amp; Vedic Sanskrit culture</t>
  </si>
  <si>
    <t>Digesting Hinduism into Dravidian Christianity</t>
  </si>
  <si>
    <t>Are dravidian black of India?</t>
  </si>
  <si>
    <t>How white vs black theory of racism being created in India.</t>
  </si>
  <si>
    <t>https://www.youtube.com/watch?v=BEz8X5SUwjY</t>
  </si>
  <si>
    <t>Atlanta April 23rd, 2011: Talk by Rajiv Malhotra - Part 1</t>
  </si>
  <si>
    <t>Human right, conversion theory and Mahatma Gandhi</t>
  </si>
  <si>
    <t>https://www.youtube.com/watch?v=lzMEDrUFlpw</t>
  </si>
  <si>
    <t>Atlanta April 23rd, 2011: Talk by Rajiv Malhotra - Part 2</t>
  </si>
  <si>
    <t xml:space="preserve">Conspiracy theory and "Breaking India" book </t>
  </si>
  <si>
    <t>Title required in English/Hindi for Tamil testimony. Must play again.</t>
  </si>
  <si>
    <t>Contribution of St Thomas to Indian Christianity. Temple vs Churches.</t>
  </si>
  <si>
    <t>St Thomas came to Pakistan area not South of India. Even after 200 years of death of Jesus Kerala has only 8 families. In 1816 Kerala had 35000 christians and 55 churches, 19600 temples. In 1876 Temples reduced to 962 Churches &gt; 1000. During freedom fight kerala churches was praying for British Govt. Churches are opportunists. In order to convert Brahmins into christianity a paadri from Italy came and settled in Madurai, learned sanskrit, translated bible into sanskrit and started church prayers in sanskrit.</t>
  </si>
  <si>
    <t>https://www.youtube.com/watch?v=qCG2vqnaUx4</t>
  </si>
  <si>
    <t>Atlanta April 23rd, 2011: Talk by Rajiv Malhotra - Part 3</t>
  </si>
  <si>
    <t>Get name of Italian Paadri for description.</t>
  </si>
  <si>
    <t>https://www.youtube.com/watch?v=ycnvyB8pDEM</t>
  </si>
  <si>
    <t>Atlanta April 23rd, 2011: Questions and Answers - Part 1</t>
  </si>
  <si>
    <t>https://www.youtube.com/watch?v=xANxZaCCD70</t>
  </si>
  <si>
    <t>Atlanta April 23rd, 2011: Questions and Answers - Part 2</t>
  </si>
  <si>
    <t>Why "Breaking India" book critisizes Dravidian Movement?</t>
  </si>
  <si>
    <t>Dravdian movement is racial idea of social reforms and does not deliver justice to the all section of society.</t>
  </si>
  <si>
    <t>https://www.youtube.com/watch?v=VeR7IhIkDk0</t>
  </si>
  <si>
    <t>Atlanta April 23rd, 2011: Conclusion by Gokul Kunnath</t>
  </si>
  <si>
    <t>https://www.youtube.com/watch?v=iS7CE9mrtI4</t>
  </si>
  <si>
    <t>God and Identity: Rajiv Malhotra &amp; Joshua Stanton #1</t>
  </si>
  <si>
    <t>Nexus of Foreign NGOs and their role in BI</t>
  </si>
  <si>
    <t>RM reveals how foreign NGOs are systematically working towards breaking India.</t>
  </si>
  <si>
    <t>The Christianity ambush on multiple fronts</t>
  </si>
  <si>
    <t>https://www.youtube.com/watch?v=THua8SMPtK4</t>
  </si>
  <si>
    <t>Aryan theory, Dravidian theory, Dravidian Christianity, Appropriation of Mahabharata etc into Christian frameworks</t>
  </si>
  <si>
    <t>Brahman and Karma: Rajiv Malhotra &amp; Joshua Stanton #2</t>
  </si>
  <si>
    <t>Human rights and its use for conversion</t>
  </si>
  <si>
    <t>https://www.youtube.com/watch?v=6_9IYK6ZlyY</t>
  </si>
  <si>
    <t>How missionaries use religion and human rights as pretext to promote their conversion agenda</t>
  </si>
  <si>
    <t>Why Reincarnation: Rajiv Malhotra &amp; Joshua Stanton #3</t>
  </si>
  <si>
    <t>https://www.youtube.com/watch?v=LXrKKz7Mld8</t>
  </si>
  <si>
    <t>Limits &amp; Possibilities of Self: Rajiv Malhotra &amp; Joshua Stanton #4</t>
  </si>
  <si>
    <t>https://www.youtube.com/watch?v=ufZ1BZcZzKI</t>
  </si>
  <si>
    <t>History &amp; Dharmic Traditions: Rajiv Malhotra &amp; Joshua Stanton #8</t>
  </si>
  <si>
    <t>https://www.youtube.com/watch?v=ByaheAphduQ</t>
  </si>
  <si>
    <t>Hindu Unity Day: Dallas August, 2011</t>
  </si>
  <si>
    <t>https://www.youtube.com/watch?v=rNhQIKC2jPM</t>
  </si>
  <si>
    <t>Personal Motivations: Rajiv Malhotra &amp; Joshua Stanton #5</t>
  </si>
  <si>
    <t>What Rajiv Malhotra is try to do?</t>
  </si>
  <si>
    <t>Analyse how Hindu Sampradya, Parampara, Family system, festivals are being viewed, misintepreted and appropriated by west</t>
  </si>
  <si>
    <t>https://www.youtube.com/watch?v=FndfcBhZklU</t>
  </si>
  <si>
    <t>Dharma &amp; Modern India: Rajiv Malhotra &amp; Joshua Stanton #9</t>
  </si>
  <si>
    <t>Ambedkar's views on conversion</t>
  </si>
  <si>
    <t>Ambedkar was opposed to conversion as he believed this would break up the unity of India owing to the foreign hands involved.</t>
  </si>
  <si>
    <t>https://www.youtube.com/watch?v=20u8yHim1tM</t>
  </si>
  <si>
    <t>Educating the Next Generation: Rajiv Malhotra &amp; Joshua Stanton #11</t>
  </si>
  <si>
    <t>What is Afro-Dalit project of missionaries in India?</t>
  </si>
  <si>
    <t>This project was the seed of writing book called "Breaking India"</t>
  </si>
  <si>
    <t>https://www.youtube.com/watch?v=K9s433rQloA</t>
  </si>
  <si>
    <t>Dharmic Framework for Dialogue: Rajiv Malhotra &amp; Joshua Stanton #10</t>
  </si>
  <si>
    <t>How churches creating dominance in India?</t>
  </si>
  <si>
    <t>Churches buy huge land in remote part of India to create dominance</t>
  </si>
  <si>
    <t>Conversion to Christianity and the demonization of Hinduism, ancient Indian culture</t>
  </si>
  <si>
    <t>When Indian convert to Christianity, irrespective of the reasons behind it they tend to distance themselves from the indigenous culture and practices slowly. Instead they develop their own clique encouraged by the perpetrators of conversion.</t>
  </si>
  <si>
    <t>https://www.youtube.com/watch?v=QEUeYDEFtsE</t>
  </si>
  <si>
    <t>Churches and their human right arguments</t>
  </si>
  <si>
    <t>Language and Difference: Rajiv Malhotra &amp; Joshua Stanton #6</t>
  </si>
  <si>
    <t>Churches using human right as a tool for conversion and spreading base</t>
  </si>
  <si>
    <t>Improvement in conditions of Dalits is not connected to conversion</t>
  </si>
  <si>
    <t>The improvement in the conditions of Dalits was due to the excellent initiatives from the Government of India and not because of conversion as is wrongly believed.</t>
  </si>
  <si>
    <t>https://www.youtube.com/watch?v=Yhp3rFuo5Cw</t>
  </si>
  <si>
    <t>History Centrism As the Problem: Rajiv Malhotra and Joshua Stanton #7</t>
  </si>
  <si>
    <t>Nexus of US Govt, Foundations and Churches from US</t>
  </si>
  <si>
    <t>What is US Commision on International Religious Freedom and their relation with US Political system</t>
  </si>
  <si>
    <t>https://www.youtube.com/watch?v=8qjQH_-WzyE</t>
  </si>
  <si>
    <t>Rajiv Malhotra California June 2011 - 1: Importance of Managing our Civilization Discourse</t>
  </si>
  <si>
    <t>Conversion does not solve casteism problem - the sub topic can be this too</t>
  </si>
  <si>
    <t>People behind religious freedom project of US Commision</t>
  </si>
  <si>
    <t>Nexus of foreign NGOs and their role in human rights</t>
  </si>
  <si>
    <t>RM reveals how foreign NGOs are systematically working towards breaking India. He gives specific examples to illustrate his point.</t>
  </si>
  <si>
    <t>https://www.youtube.com/watch?v=vHWsmGyjOk0</t>
  </si>
  <si>
    <t>Rajiv Malhotra California June 2011 - 2: Changing the Game through Non-Ignorable Interventions</t>
  </si>
  <si>
    <t>Who created Dravid Identify in India?</t>
  </si>
  <si>
    <t>Rajiv Malhotra on Christian media network</t>
  </si>
  <si>
    <t xml:space="preserve">Christian media worldwide orchestrate efforts to deliberately project India as a country where all sort of atrocities occur.  </t>
  </si>
  <si>
    <t>Is such a short clip ok?</t>
  </si>
  <si>
    <t>https://www.youtube.com/watch?v=-udb2VYB5uo</t>
  </si>
  <si>
    <t>Rajiv Malhotra California June 2011 - 3: Anti-India Nexuses</t>
  </si>
  <si>
    <t>Defining who is a minority</t>
  </si>
  <si>
    <t xml:space="preserve">RM argues that we need to relook at the way we define minorities. It should be viewed in the light that certain minorities are governed by foreign players and hence definitely not be considered as a minority. </t>
  </si>
  <si>
    <t>21st Century methods to divide to rule the India</t>
  </si>
  <si>
    <t>Aryan-Dravinian Divide -&gt; Dalit-non-Dalit Divide, Majority-minority divide =&gt; Hindu vs Dravid + Dalit divide in society</t>
  </si>
  <si>
    <t>https://www.youtube.com/watch?v=f-MLHIb4dFU</t>
  </si>
  <si>
    <t>Rajiv Malhotra California: #4 Exploiting India's Minorities</t>
  </si>
  <si>
    <t>Who is responsible for asaulting indian culture</t>
  </si>
  <si>
    <t xml:space="preserve">A book on Chritian Media in India by Pradip N Thomas </t>
  </si>
  <si>
    <t>https://www.youtube.com/watch?v=m3jwqSSyVkg</t>
  </si>
  <si>
    <t>Rajiv Malhotra California June 2011 - 5: Q &amp; A (Los Angeles) 1</t>
  </si>
  <si>
    <t>Left-Right unity in India</t>
  </si>
  <si>
    <t>Christian controlled media and literature</t>
  </si>
  <si>
    <t>There is a steady stream of Christian propaganda from foreign controlled sources with good credentials.</t>
  </si>
  <si>
    <t>https://www.youtube.com/watch?v=QWaXqmcxm94</t>
  </si>
  <si>
    <t>What is minority community?</t>
  </si>
  <si>
    <t>Rajiv Malhotra California June 2011 - 6: Q &amp; A (Los Angeles) 2</t>
  </si>
  <si>
    <t>Human right in India vs China from the US lenses</t>
  </si>
  <si>
    <t>https://www.youtube.com/watch?v=JXjMYvGqqDE</t>
  </si>
  <si>
    <t>Rajiv Malhotra California June 2011 - 7: Q &amp; A (Los Angeles) 3</t>
  </si>
  <si>
    <t>In fighting of Hinduism, sufism and uniting Hindus strategy</t>
  </si>
  <si>
    <t>Principle of Karma, reincarnation, cosmic unity are non-negotiable. No-history is suprior, many path to the truth is the Hindu way. To unite Hindus we should compare how other traditions are different from Hindu tradition rather than how we are different within.</t>
  </si>
  <si>
    <t>https://www.youtube.com/watch?v=TGgYE0Ui0co</t>
  </si>
  <si>
    <t xml:space="preserve">Radicalization of Christianity in India </t>
  </si>
  <si>
    <t>Rajiv Malhotra California June 2011 - 8: Q &amp; A (Bay Area) 4</t>
  </si>
  <si>
    <t>Christians in the West are more liberal in their thinking and open to many ideas. Whereas this kind of thinking will not sell the conversion agenda in India and instead a more radical approach is propagated.</t>
  </si>
  <si>
    <t>How west was unified by Hegal in 17th Century</t>
  </si>
  <si>
    <t>Hegal is orignator of western sense of unity. Hindus need this same concept for unity.</t>
  </si>
  <si>
    <t>https://www.youtube.com/watch?v=xtHzknvaS7s</t>
  </si>
  <si>
    <t>Rajiv Malhotra California June 2011 - 9: Q &amp; A (Bay Area) 5</t>
  </si>
  <si>
    <t>Role of US government, donors and NGOs in conversion</t>
  </si>
  <si>
    <t>Foreign policy makers in the US need to rethink the Christianity agenda in India. The earlier thinking of dividing India based on religion should be changed.</t>
  </si>
  <si>
    <t>https://www.youtube.com/watch?v=s3LVHHEe2vc</t>
  </si>
  <si>
    <t>Rajiv Malhotra: #2 Seminar in Houston, Book: Breaking India</t>
  </si>
  <si>
    <t>5 years ago</t>
  </si>
  <si>
    <t>3 Naxus against India</t>
  </si>
  <si>
    <t>Princeton University  discussion on "Breaking India" - speaker Reverend Thompson.</t>
  </si>
  <si>
    <t>https://www.youtube.com/watch?v=sc4OOSLMiQQ</t>
  </si>
  <si>
    <t>Rajiv Malhotra: #1 Seminar in Houston, Book: Breaking India</t>
  </si>
  <si>
    <t>What is being Broken &amp; Why?</t>
  </si>
  <si>
    <t>Sense of continuity, Teertha, Secrad Geography, Collective Destinity, Symbols, abusing some tradition, psychological sense of unity, sense of identify are being broken.</t>
  </si>
  <si>
    <t>Content is mediocre but retaining it as it shows the quality of the argument</t>
  </si>
  <si>
    <t>https://www.youtube.com/watch?v=QZxRsM9xvK4</t>
  </si>
  <si>
    <t>Rajiv Malhotra: #3 Seminar in Houston, Book: Breaking India</t>
  </si>
  <si>
    <t>Rev. Thompson on forcible conversion to Christianity</t>
  </si>
  <si>
    <t>Rev. Thompson says conversion is a religious right and dismisses claims of forcible conversion</t>
  </si>
  <si>
    <t>Dravidian Aryan Artificial Theory</t>
  </si>
  <si>
    <t>Stage of development of Drvaidian theory. Linguistic separation-&gt; culture different-&gt; race different-&gt; religion -&gt; now Dravidian is not secular but Christian Dravdian.</t>
  </si>
  <si>
    <t>Objective of DFN (Dalit Freedom Network)</t>
  </si>
  <si>
    <t>https://www.youtube.com/watch?v=-3rtVbNkNNQ</t>
  </si>
  <si>
    <t>Rajiv Malhotra: #4 Seminar in Houston, Book: Breaking India</t>
  </si>
  <si>
    <t>Rev. Thompson's reasoning for conversion</t>
  </si>
  <si>
    <t>Work of Lutherian Church of Northen Europe in India</t>
  </si>
  <si>
    <t>Rev. Thompson explains why his family converted to Christianity from being a Hindu; social oppression owing to belonging to a lower caste is his reasoning</t>
  </si>
  <si>
    <t>Rev. Thompson explains why anti-Brahmin feelings rose</t>
  </si>
  <si>
    <t>Rev. Thompson gives the example of the Tamil movie Parashakti where Brahmins are cast in the worst light possible. This movie was a super hit and made Sivaji Ganesan a superstar</t>
  </si>
  <si>
    <t>https://www.youtube.com/watch?v=ytrFjytVgtk</t>
  </si>
  <si>
    <t>US Govt Role as a Part of Nexus</t>
  </si>
  <si>
    <t>Seminar in Houston, Book: Breaking India #5</t>
  </si>
  <si>
    <t>Rev. Thompson speaks in support of the Aryan - Dravidian theory</t>
  </si>
  <si>
    <t>Rev. Thompson cites the work of a few historians to support the theory that Dravidians were the original inhabitants of the Indus valley civilization</t>
  </si>
  <si>
    <t>How Breaking India forces are studying India?</t>
  </si>
  <si>
    <t>https://www.youtube.com/watch?v=28dLjjiriJA</t>
  </si>
  <si>
    <t>Seminar in Houston, Book: Breaking India #6</t>
  </si>
  <si>
    <t>https://www.youtube.com/watch?v=YFmL65VsWdk</t>
  </si>
  <si>
    <t>Rajiv Malhotra's Book "Being Different" Event with Swami Dayananda Saraswati</t>
  </si>
  <si>
    <t>https://www.youtube.com/watch?v=mhHQNrL_bkM</t>
  </si>
  <si>
    <t>Houston Seminar on Breaking India: September 11, 2011 - Audience Q &amp; A with Rajiv Malhotra Vid 7</t>
  </si>
  <si>
    <t>Low</t>
  </si>
  <si>
    <t>Content is mediocre but retaining it as it shows the low quality of the argument</t>
  </si>
  <si>
    <t>https://www.youtube.com/watch?v=HZ6X5Xt1nS8</t>
  </si>
  <si>
    <t>Houston Seminar on Breaking India: September 11, 2011 - Jayakumar (Chief Organizer) Vid 8</t>
  </si>
  <si>
    <t>Yagya is not equal to sacrfice</t>
  </si>
  <si>
    <t>Rev. Thompson continues with his argument that Dravidians were the superior race and Aryans borrowed many of the original ideas of Dravidians. Aryans brought about the caste system.</t>
  </si>
  <si>
    <t>Ok</t>
  </si>
  <si>
    <t>https://www.youtube.com/watch?v=IAmXafhUmYc</t>
  </si>
  <si>
    <t>Introductory talk at Uberoi Foundation - Oct 1st, 2011</t>
  </si>
  <si>
    <t>Non Translatable Sanskrit Words</t>
  </si>
  <si>
    <t>Prophet is not Rishi, Energy in Shakti, Soul is not  Atman, Gym is not Yoga? Civilization and words for something which they have experienced. Prophet does not have experience of unity but rishi has. Prophet is non producable. Rishi potential is with everyone.</t>
  </si>
  <si>
    <t>What is digestion of civilization?</t>
  </si>
  <si>
    <t>https://www.youtube.com/watch?v=M-zdPqtp9Kk</t>
  </si>
  <si>
    <t>Rajiv Malhotra at Univ. of Delhi, Psychology Department, presenting BEING DIFFERENT</t>
  </si>
  <si>
    <t>How to avoid digestion of civilization?</t>
  </si>
  <si>
    <t>Karma, Reincarnation cannot be digested in Christianity.</t>
  </si>
  <si>
    <t xml:space="preserve">The systematic approach to converting people to Christianity in India is objectionable. </t>
  </si>
  <si>
    <t>https://www.youtube.com/watch?v=J5mYtIH7Pho</t>
  </si>
  <si>
    <t>Why virgin birth so critical in Christianity?</t>
  </si>
  <si>
    <t>HarperCollins launch of BEING DIFFERENT by Rajiv Malhotra - Part 1 - Preliminaries</t>
  </si>
  <si>
    <t>People born before Jesus and original sin.</t>
  </si>
  <si>
    <t>https://www.youtube.com/watch?v=OpsoPcAUMbw</t>
  </si>
  <si>
    <t>Can also be called Systematic approach to changing human behaviour</t>
  </si>
  <si>
    <t>HarperCollins launch of BEING DIFFERENT - Pt 2 Pavan Verma Indian Ambassador to Bhutan</t>
  </si>
  <si>
    <t>What is nicene creed?</t>
  </si>
  <si>
    <t>Does Christianity respect other religions?</t>
  </si>
  <si>
    <t>Rev. Thompson's response is that not all churches aim to convert people. Only a narrow-minded set of Christians refuse to acknowledge other religions.</t>
  </si>
  <si>
    <t>https://www.youtube.com/watch?v=MlTxtaiX1xI</t>
  </si>
  <si>
    <t>HarperCollins launch of BEING DIFFERENT by Rajiv Malhotra Part 3 - Madhu Khanna, Prof of Religion</t>
  </si>
  <si>
    <t>What is history centrism?</t>
  </si>
  <si>
    <t>Christian powered violence against Hindus</t>
  </si>
  <si>
    <t>In pockets of India which have a Christian majority, they have an issue in co-existing with Hindus and in fact turn violent against them.</t>
  </si>
  <si>
    <t>https://www.youtube.com/watch?v=4yz6ZL-TC94</t>
  </si>
  <si>
    <t>Mark Tully Discusses Rajiv Malhotra's Book BEING DIFFERENT</t>
  </si>
  <si>
    <t>Status of Jesus in Islam</t>
  </si>
  <si>
    <t>Intergral Unity vs Synthetic Unity</t>
  </si>
  <si>
    <t>Sufism &amp; Islam and Ahmadiyya</t>
  </si>
  <si>
    <t>Unity consiousness is blasphamy</t>
  </si>
  <si>
    <t>Nothing of value to record here</t>
  </si>
  <si>
    <t>https://www.youtube.com/watch?v=NPNImjeRrF8</t>
  </si>
  <si>
    <t>Rajiv Malhotra talk at Arsha Vidya</t>
  </si>
  <si>
    <t>Why Hindu Identify?</t>
  </si>
  <si>
    <t>Why we need Hindu Identify 
   Will it not create conflict?
                No Because we have concept of mutual respect. Other has concept of tolerance. We do not claim exclusivity.
   We all are American, why does it matter that we are Hindu, Chinese or Japanese?
                America is fine with hyphenated Identify - African American, Native American, British American etc.
                hyphenated is fine with Religious Identify - Catholic American, Jews American, American Muslim etc.
   As per Advaita Vedanta everything is Maya. So identify is useless. Identify only belongs to Dualistic. So why need Idenity?
                In Leela you have identity and you play your role as per Identify.</t>
  </si>
  <si>
    <t>https://www.youtube.com/watch?v=29-xoooHPaw</t>
  </si>
  <si>
    <t>Being Different at YPO/WPO, Madras: Rajiv Malhotra's Talk</t>
  </si>
  <si>
    <t>Following questions raised but not answered in this Video. 
What is Hindu Identify? 
How to present Hindu identify in a respectable manner?</t>
  </si>
  <si>
    <t>https://www.youtube.com/watch?v=8RSu4ymCgp4</t>
  </si>
  <si>
    <t>Rajiv Malhotra's Lecture on U-Turn Theory, Lady Sri Ram College, Delhi</t>
  </si>
  <si>
    <t>https://www.youtube.com/watch?v=y1fdkGgCt64</t>
  </si>
  <si>
    <t>IIT Madras: Rajiv Malhotra talk on "Being Different" Part 1</t>
  </si>
  <si>
    <t>Expectations from the church in India</t>
  </si>
  <si>
    <t>Christianity practiced without an institutionalized approach to conversion is not a problem. It is only when it is thrust upon the people and Hindus protest that tension arises.</t>
  </si>
  <si>
    <t>Five stage of U-Turn Theory</t>
  </si>
  <si>
    <t>https://www.youtube.com/watch?v=FNqQxPkLmPI</t>
  </si>
  <si>
    <t>Being Different: IIT Madras Part 3 - Q&amp;A</t>
  </si>
  <si>
    <t>1- Understanding the Indian thought with great respect
2- Erase the Indian origin and consider it generic, because of various reasons
3- Behave like it is part of their own culture. Like christian, jews or scientific idea. 
4- Hate the India source
5- Final knowledge is imported into India as a new Idea</t>
  </si>
  <si>
    <t>https://www.youtube.com/watch?v=54lSHTtU68A</t>
  </si>
  <si>
    <t>Link between reservation, conversion and college admissions</t>
  </si>
  <si>
    <t>Rajiv Malhotra's Opening Remarks- His Discussion with Prof Francis Clooney of Harvard: UMass 1</t>
  </si>
  <si>
    <t>Rev. Thompson's views on whether reservation based college admissions influences conversions.</t>
  </si>
  <si>
    <t>U-Turn of Dr. Herb Benson</t>
  </si>
  <si>
    <t>Rev Thomas' responds to this question</t>
  </si>
  <si>
    <t>https://www.youtube.com/watch?v=uDANJcQm-So</t>
  </si>
  <si>
    <t>Response to BEING DIFFERENT by Prof Francis Clooney of Harvard: UMass 2</t>
  </si>
  <si>
    <t>Why does Christianity promote conversions?</t>
  </si>
  <si>
    <t>Conversion implies that Christianity believes it is superior to other religions. Rev. Thompson responds to a question on that.</t>
  </si>
  <si>
    <t>U-Turn of Daniel Goleman</t>
  </si>
  <si>
    <t>https://www.youtube.com/watch?v=aXm-YqwVmbs</t>
  </si>
  <si>
    <t>Rajiv Malhotra's Response to Francis Clooney on BEING DIFFERENT: UMass 3</t>
  </si>
  <si>
    <t>U-Turn of Dean Ornish</t>
  </si>
  <si>
    <t>Methodology behind BI research</t>
  </si>
  <si>
    <t xml:space="preserve">RM explains the methodology used to arrive at the conclusion that there is a large scale orchestration effort based in the US to promote the conversion agenda. </t>
  </si>
  <si>
    <t>https://www.youtube.com/watch?v=4eM5V0OXNNU</t>
  </si>
  <si>
    <t>Being Different —Rajiv &amp; Francis Clooney's Q&amp;A with Students of UMass: 4</t>
  </si>
  <si>
    <t>U-Turn of John Kabat Zinn</t>
  </si>
  <si>
    <t>Foudar of Mindfull Mediation. Which is originally Vipasana</t>
  </si>
  <si>
    <t>https://www.youtube.com/watch?v=knJJGEYwaZw</t>
  </si>
  <si>
    <t>8:47 - 10:05 - Rev. Thomas's addition to RM's points - don’t think it is needed - your call</t>
  </si>
  <si>
    <t>IIT Madras Part 2 - Comments on BEING DIFFERENT by Prof. Nellickappilly &amp; Prof. Venkatakrishnan</t>
  </si>
  <si>
    <t>U-Turn of Stephen LaBerge</t>
  </si>
  <si>
    <t>Prominient Professor of Cognitive Sciences At Stanford University. Yoga Nidra, Lucid Dreaming expermentor.</t>
  </si>
  <si>
    <t>https://www.youtube.com/watch?v=3pxgnl2fHZg</t>
  </si>
  <si>
    <t>Part 2- Mata Amritanandamayi's Univ: Ann Berliner, Prof. CA State Univ. Comments on BEING DIFFERENT</t>
  </si>
  <si>
    <t>U-Turn of Francisco Varela</t>
  </si>
  <si>
    <t>Late Professor, Cognitive Nerosciences and brain Imaging Laboratory, Paris</t>
  </si>
  <si>
    <t>RM presents examples of books written by Western authors on the propagation of Christianity by the US.</t>
  </si>
  <si>
    <t>https://www.youtube.com/watch?v=TEUt7CVuFbI</t>
  </si>
  <si>
    <t>Being Different: India's Challenge to Western Universalism_Full Talk</t>
  </si>
  <si>
    <t>U-Trun of Evan Thompson</t>
  </si>
  <si>
    <t>Student of Francisco Varela</t>
  </si>
  <si>
    <t>https://www.youtube.com/watch?v=z1wT-GurohQ</t>
  </si>
  <si>
    <t>IISc Video 2 - Comments by T.V. Mohandas Pai, Former Board member of Infosys</t>
  </si>
  <si>
    <t xml:space="preserve">U-Trun of Roberto Assagioli </t>
  </si>
  <si>
    <t>Roberto Assagioli - Contemporary of Freud and the foundaer of psycho-synthesis. Transpersonal Psychology</t>
  </si>
  <si>
    <t>Christianity does not believe in pluralism unlike Hinduism and this therefore reduces diversity. Religious freedom is curtailed when you join a religion of exclusivity such as CHristianity.</t>
  </si>
  <si>
    <t>https://www.youtube.com/watch?v=f-XdG6v-RWk</t>
  </si>
  <si>
    <t>Rajiv Malhotra explains his Systems Model of History Centrism at IISc</t>
  </si>
  <si>
    <t>U-Turn of Ken Welber</t>
  </si>
  <si>
    <t>Latest icon of Transpersonal Pschology in west</t>
  </si>
  <si>
    <t>Institutional U-Turn- California Institute of Integral Studies</t>
  </si>
  <si>
    <t>https://www.youtube.com/watch?v=BcDC-Op1hJc</t>
  </si>
  <si>
    <t>IISc Video 3 - Comments by Roddam Narasimha, Scientist</t>
  </si>
  <si>
    <t>Conversion does not solve casteism problem</t>
  </si>
  <si>
    <t>Institutional U-Turn- Esalen - Original Influenced by JD Krishnamurthi</t>
  </si>
  <si>
    <t>Christianity in India has a thriving caste system built into it. It is a myth that Christianity has overcome the caste problem.</t>
  </si>
  <si>
    <t>Institutional U-Turn- Institute of Noetic Sciences - IONS</t>
  </si>
  <si>
    <t>https://www.youtube.com/watch?v=lXmhJr1LDyI</t>
  </si>
  <si>
    <t>IISc Video 4 - Q &amp; A</t>
  </si>
  <si>
    <t>Rajiv Malhotra on Buddhism in India</t>
  </si>
  <si>
    <t xml:space="preserve">Buddhism in India flourished for nearly 1000 years in India before its decline. </t>
  </si>
  <si>
    <t>U-Turn of Karl Jung</t>
  </si>
  <si>
    <t>Father of modern pyschology</t>
  </si>
  <si>
    <t>RM refutes Rev. Thompson's statement on the existence of Hindutva during St. Thomas' time.</t>
  </si>
  <si>
    <t>U-Turn of Poly Trout</t>
  </si>
  <si>
    <t>https://www.youtube.com/watch?v=Wrs0XEoFHAM</t>
  </si>
  <si>
    <t>Rajiv Malhotra's TV Interview with Prof. Thakur of Jawaharlal Nehru University</t>
  </si>
  <si>
    <t>U-Trun Eugene Taylor</t>
  </si>
  <si>
    <t>Impact of Transcendental Meditation</t>
  </si>
  <si>
    <t>https://www.youtube.com/watch?v=O0wEzvYOTJw</t>
  </si>
  <si>
    <t>Five stage of U-Turn Theory in Detail</t>
  </si>
  <si>
    <t>Breaking India book by Rajiv Malhotra Bangalore_ Intro by TS Mohan #1</t>
  </si>
  <si>
    <t>Digestion of Ayurveda into Estee Lauder (Aveda)</t>
  </si>
  <si>
    <t>How yoga could have benefited Indian Economy</t>
  </si>
  <si>
    <t>https://www.youtube.com/watch?v=G3NpQQMh8jQ</t>
  </si>
  <si>
    <t>Breaking India book by Rajiv Malhotra: Talk by Dr Swamy Part 2</t>
  </si>
  <si>
    <t>https://www.youtube.com/watch?v=Vf5BOYF0S3Y</t>
  </si>
  <si>
    <t>American Theory-Making on India: "Saving Indians from India" by Rajiv Malhotra 2005 at IIC Delhi</t>
  </si>
  <si>
    <t>Human Right Policing in India by USA</t>
  </si>
  <si>
    <t>https://www.youtube.com/watch?v=VP5gPVW3XDM</t>
  </si>
  <si>
    <t>Being Different or Being Digested - Univ of Massachusetts</t>
  </si>
  <si>
    <t>Does the west of superior human right records?</t>
  </si>
  <si>
    <t>Dowry murders Delhi and Insurance Killing in New York a comparision</t>
  </si>
  <si>
    <t>https://www.youtube.com/watch?v=0uPW7Jf9y7o</t>
  </si>
  <si>
    <t>Rajiv Malhotra's Talk at Kitab Khana, Mumbai's Premier Bookstore</t>
  </si>
  <si>
    <t>India's Pluralism is Under-appreciated!</t>
  </si>
  <si>
    <t>Academic studies about India are pre-judice</t>
  </si>
  <si>
    <t>Using the Dalit cause as a Breaking India factor</t>
  </si>
  <si>
    <t>The Dalit identity and using the victimhood card are used as a divisive strategy. It is a well-thought through and funded campaign including from US based organizations.</t>
  </si>
  <si>
    <t>https://www.youtube.com/watch?v=fjD9BVlmPoA</t>
  </si>
  <si>
    <t>Rajiv Malhotra's Keynote Address at Institute of Social &amp; Economical Change, Bangalore</t>
  </si>
  <si>
    <t>Biased linking between the social problem and Hinduism</t>
  </si>
  <si>
    <t>https://www.youtube.com/watch?v=iGpYgqX-p8c</t>
  </si>
  <si>
    <t>Rajiv Malhotra at Somaiya Institutes, Mumbai - Part 1: Introduction (in Sanskrit &amp; English)</t>
  </si>
  <si>
    <t>American encouraged topics vs discouraged topic in India study</t>
  </si>
  <si>
    <t>A comparison of sharp criticism of India vs USA.</t>
  </si>
  <si>
    <t>https://www.youtube.com/watch?v=schP-IZS5Sw</t>
  </si>
  <si>
    <t>In the initial part, the video jumps around quite a bit</t>
  </si>
  <si>
    <t>Rajiv Malhotra at Somaiya Institute, Mumbai: #3 Hindi Q&amp;A</t>
  </si>
  <si>
    <t>How anthropologists, publishers, religion academician &amp; historians make a bad gang</t>
  </si>
  <si>
    <t>How this whole theater of Breaking India forces works?</t>
  </si>
  <si>
    <t>Who is behind the Breaking India movement?</t>
  </si>
  <si>
    <t>https://www.youtube.com/watch?v=gmu_fBglk-A</t>
  </si>
  <si>
    <t>Rajiv Malhotra at Somaiya Institutes, Mumbai - Part 4: English Q&amp;A</t>
  </si>
  <si>
    <t>RM has meticulously researched the forces behind the Dalit movement and exposes their hidden agenda. There are several organizations based mainly in the US which have targeted India for conversion.</t>
  </si>
  <si>
    <t>How the rich of the world are re-writing history.</t>
  </si>
  <si>
    <t>Sansar Chanra Advisor from People First on Hidden Mystry Book Series in America has 13 books. It is about how the history is re-written by rich people?</t>
  </si>
  <si>
    <t>Relationship between Economic performance of a country and its Cultural capital</t>
  </si>
  <si>
    <t>https://www.youtube.com/watch?v=-WPYCv8jdJc</t>
  </si>
  <si>
    <t>Rajiv Malhotra at Somaiya Institutes, Mumbai - Part 2: Lecture</t>
  </si>
  <si>
    <t>The whole system of economic growth is unsustainable.</t>
  </si>
  <si>
    <t>What is Indian Grand Narrantive?</t>
  </si>
  <si>
    <t>The systematic campaign to tag India as a place where there is no religious freedom.</t>
  </si>
  <si>
    <t xml:space="preserve">Extensive research by RM has revealed how churches, governments, private think-tanks, foundations, academic institutions provide funding, ideology and manpower. Media also cooperates by painting a biased view of the happenings in India. </t>
  </si>
  <si>
    <t>https://www.youtube.com/watch?v=91dtNzk71IA</t>
  </si>
  <si>
    <t>Rajiv Malhotra Lecture at Young Presidents' Organization, Kolkata</t>
  </si>
  <si>
    <t>Some Liberal Christians who get involved unknowingly in the Breaking India movement</t>
  </si>
  <si>
    <t xml:space="preserve">Some prestigious think tanks and liberal Christians in the US unknowingly get involved in the Breaking India activities without realizing the consequences of some of the actions they take. </t>
  </si>
  <si>
    <t>https://www.youtube.com/watch?v=SrCfhdoTLfg</t>
  </si>
  <si>
    <t>Keynote at Spirituality &amp; Management Conference, IIM B</t>
  </si>
  <si>
    <t xml:space="preserve">Understanding the campaign by vested interests for a Dravidian identity </t>
  </si>
  <si>
    <t>RM explains how the Dravidian narrative is carefully built by a well-executed campaign over several years involving even famous names.</t>
  </si>
  <si>
    <t>Sanskrit Non-Translatable words</t>
  </si>
  <si>
    <t>https://www.youtube.com/watch?v=nmbYnYYpa6g</t>
  </si>
  <si>
    <t>Talk at Bhabha Atomic Research Center, Mumbai: Rajiv Malhotra</t>
  </si>
  <si>
    <t>Using the minority card to create a divide</t>
  </si>
  <si>
    <t>How Indian Psychology became serious subject in western world</t>
  </si>
  <si>
    <t>Minorities are being whitewashed into believing they are victims leading to divisiveness and even violent confrontations.</t>
  </si>
  <si>
    <t>What is Protestant Ethics (Western Model) and its impact on India</t>
  </si>
  <si>
    <t>World is for man's exploitation. Man centric, selfish. This model is not viable, scalable.</t>
  </si>
  <si>
    <t>GoI intervention is needed to stem the Breaking India movement</t>
  </si>
  <si>
    <t>The Govt. of India has strangely remained quiet with regard to the Breaking India movement. In addition to private stakeholders, the government should also get involved and protest to the US government. The Chinese response to similar situations is interesting.</t>
  </si>
  <si>
    <t>Indian Ashrama system and cosumerism</t>
  </si>
  <si>
    <t>https://www.youtube.com/watch?v=MOkWSa69NKA</t>
  </si>
  <si>
    <t>Tsunami: The Untold Story by Rajiv Malhotra, 2005</t>
  </si>
  <si>
    <t>Indian Decentralized Structures</t>
  </si>
  <si>
    <t>https://www.youtube.com/watch?v=k_PhmmAyLFg</t>
  </si>
  <si>
    <t>Rajiv Malhotra: Globalization &amp; World Peace, Asian Indian Chamber of Commerce, Nov 16 2008</t>
  </si>
  <si>
    <t>How can Indian beat the western model of development?</t>
  </si>
  <si>
    <t>https://www.youtube.com/watch?v=tUBrwCmKx8s</t>
  </si>
  <si>
    <t>Rajiv Malhotra's Where is India in the Eagle's Eye?</t>
  </si>
  <si>
    <t>How to get our work scientifically validated?</t>
  </si>
  <si>
    <t>U turner's work is very helpful in this</t>
  </si>
  <si>
    <t>How to make more people aware of the Breaking India movement</t>
  </si>
  <si>
    <t>Steps need to be taken beyond publishing the book to spread the message from the book to a larger audience. Some measures include Tamil translation, debates, lobbying with the US government etc.</t>
  </si>
  <si>
    <t>How to counter the Weber's critique about India</t>
  </si>
  <si>
    <t>In the initial part, the video jumps around quite a bit and then settles down.</t>
  </si>
  <si>
    <t>https://www.youtube.com/watch?v=WMf0Mau2TzE</t>
  </si>
  <si>
    <t>Where is India in the Encounter of Civilizations? by Rajiv Malhotra, 2009</t>
  </si>
  <si>
    <t>Indian Diasphora and U-turn theory</t>
  </si>
  <si>
    <t>Indian Diasphora types: Spritual, Modern Professional, Language based</t>
  </si>
  <si>
    <t>Why are Indian leaders unable to take bold steps on anti-conversion?</t>
  </si>
  <si>
    <t>RM's view is that we need strong and clean leaders to initiate bold steps against conversion. Sadly, India lacks that and hence most leaders can be compromised.</t>
  </si>
  <si>
    <t>Women not found in classical indian tradition with equal rights</t>
  </si>
  <si>
    <t>https://www.youtube.com/watch?v=apOba1F4MT4</t>
  </si>
  <si>
    <t>Rajiv Malhotra's Lecture on Academic Colonization Delivered at Uberoi Foundation 2010</t>
  </si>
  <si>
    <t xml:space="preserve">The challenges in getting organized support against Breaking India forces in India </t>
  </si>
  <si>
    <t>Media, politicians, corporates cannot be relied on to support campaign against Breaking India forces as they have their own agendas to fulfill. However, the defence sector is cognizant of the challenges that India as a nation faces from such forces and are supportive.</t>
  </si>
  <si>
    <t>Using dharmic civilization as a base does not mean we want to go back to Vedic age</t>
  </si>
  <si>
    <t>https://www.youtube.com/watch?v=CtiARMXwI0Q</t>
  </si>
  <si>
    <t>Rajiv Malhotra Invading the Sacred Book Launch Best of Mumbai &amp; Delhi July 1st &amp; 2nd, 2007</t>
  </si>
  <si>
    <t>the audio quality when the question is being asked is not good</t>
  </si>
  <si>
    <t>https://www.youtube.com/watch?v=cpZPvFvzNlc</t>
  </si>
  <si>
    <t>Rajiv Malhotra: Debating Identity with NRI Youths</t>
  </si>
  <si>
    <t>The three external threats that India faces</t>
  </si>
  <si>
    <t>The West, Islam and China are always at work to convert the large Indian population to their agenda. The inaction of the Indian Government enables them to get away with such activities.</t>
  </si>
  <si>
    <t>https://www.youtube.com/watch?v=61LvuBJ6Ojs</t>
  </si>
  <si>
    <t>Seminar on BEING DIFFERENT at Banaras Hindu University: Vid 1 - Introductions</t>
  </si>
  <si>
    <t>4 years ago</t>
  </si>
  <si>
    <t>https://www.youtube.com/watch?v=nQhpJFt2KG8</t>
  </si>
  <si>
    <t>Seminar on BEING DIFFERENT at BHU: Vid 3 - Indranath Chaudhuri, Ex-Director, Sahitya Academy</t>
  </si>
  <si>
    <t>Strategy: Handling multiple questions on Hindu Identify.</t>
  </si>
  <si>
    <t>Can India's inherent strengths not protect her from Breaking India forces?</t>
  </si>
  <si>
    <t>Over 2000 years ago, India extended from Afghanistan to Bali. The country has lost 80% of its land to the two new religions that have been expanding aggressively. The partition threat is alive even today in Kashmir, NE and Tamil Nadu.</t>
  </si>
  <si>
    <t>Strategy
        Rajiv Malahotra using a strategy of consolidating various questions into one
        0:2:11-&gt; 0:10:20
        Now let us agree that we need an identify
        0:42:57-&gt;0:45:56
        What is Hindu Identify &amp; Dilema
        0:47:00-&gt; 0:49:50
        0:51:17-&gt; 0:55:17
        0:57:45-&gt; 1:00:01</t>
  </si>
  <si>
    <t>Brayan: Please create a separate clip combining time stamp mentioned in Editor's Note</t>
  </si>
  <si>
    <t>https://www.youtube.com/watch?v=myZqody8PTw</t>
  </si>
  <si>
    <t>Seminar on BEING DIFFERENT at Banaras Hindu University #2</t>
  </si>
  <si>
    <t>If you are identity-less then you are disempowering yourself</t>
  </si>
  <si>
    <t>American Identify shifted from English to Christian to White
- Italian chatholic -&gt; protestant -&gt; christian (journey of catholic assimilation in white)
- Book: How Irish become white. How Jews became white.
- America's journey of assimilation. Black were never assimilative.
- Identity war with gays, muslim, chienese, italian, spanish. Choice in America in not identify less society. 
- Whether I define or I reject my identity, I will be given identity. If I reject they will define my identity. So It is important for me to define my positive identity.
- Spanish people created their identity based on spanish language
- Historical societies of America is very important topic to be searched for understanding identity business.</t>
  </si>
  <si>
    <t>https://www.youtube.com/watch?v=iFLc0n8RSAA</t>
  </si>
  <si>
    <t>Seminar on BEING DIFFERENT at Banaras Hindu University: Vid 5 - Bettina Baumer, Indologist, Varanasi</t>
  </si>
  <si>
    <t>Will truth not prevail over the Breaking India forces?</t>
  </si>
  <si>
    <t>Like in any competitive arena, the best team wins irrespective of whether they are speaking the truth or not.</t>
  </si>
  <si>
    <t>the audio quality when the question is being asked is not good; video jumps around initially</t>
  </si>
  <si>
    <t>Difference between identity struggle in America and Canada</t>
  </si>
  <si>
    <t>US is called melting point. In Canada they want everyone to remain distinctive. In American it is either fight or melt is down.</t>
  </si>
  <si>
    <t>Willingness of people to contribute to Rajiv Malhotra's efforts</t>
  </si>
  <si>
    <t xml:space="preserve">RM describes the attitude of people when it comes to contributing to the anti - Breaking India efforts. Most Indians tend to be cheerleaders rather than active participants despite the gravity of the situation. </t>
  </si>
  <si>
    <t>https://www.youtube.com/watch?v=eKtCOiQbVX0</t>
  </si>
  <si>
    <t>Seminar on BEING DIFFERENT at BHU: Vid 4 - Oscar Pujol, Director Institute Cervates, Delhi</t>
  </si>
  <si>
    <t>All are one and children of God then why Hindu seeks differnet identify?</t>
  </si>
  <si>
    <t>Please see if this clip is required in terms of content.</t>
  </si>
  <si>
    <t>Identity is forced upon us and in reality we have to deal with enforced identity issue</t>
  </si>
  <si>
    <t>https://www.youtube.com/watch?v=vnw9dW2QgYk</t>
  </si>
  <si>
    <t>Seminar on BEING DIFFERENT at Banaras Hindu University: Vid 6 - Kamal Datt Tripathi, IGNCA, Varanasi</t>
  </si>
  <si>
    <t>For transendance of the idenitfy/ego knowing identity is important.</t>
  </si>
  <si>
    <t>https://www.youtube.com/watch?v=TxC_8Xllf-M</t>
  </si>
  <si>
    <t>Seminar on BEING DIFFERENT at Banaras Hindu University: 7 - Rajiv Malhotra</t>
  </si>
  <si>
    <t>Why civilization identify is required?</t>
  </si>
  <si>
    <t>How Carabian Hindu feels in US?</t>
  </si>
  <si>
    <t>Who should define identity for Hindu?</t>
  </si>
  <si>
    <t>https://www.youtube.com/watch?v=nbZhVwfCRMU</t>
  </si>
  <si>
    <t>Seminar on BEING DIFFERENT at Banaras Hindu University: Vid 8 - Audience Q&amp;A, Comments</t>
  </si>
  <si>
    <t>Brahman and Karma explained</t>
  </si>
  <si>
    <t>Brahman does not have an anti-brahman, karma is the equalization/ justice</t>
  </si>
  <si>
    <t>https://www.youtube.com/watch?v=rdyZwjy8Wko</t>
  </si>
  <si>
    <t>Manindra Thakur Event Jan 2012 Vid 3 - Debating Western Universalism, Digestion, &amp; U-Turns</t>
  </si>
  <si>
    <t>Aaudio needs to be better, tilte to be edited</t>
  </si>
  <si>
    <t>https://www.youtube.com/watch?v=v6It_CJ27bg</t>
  </si>
  <si>
    <t>Manindra Thakur Event Jan 2012 Vid 4 - Book Project: Indian Approach to Social Sciences</t>
  </si>
  <si>
    <t xml:space="preserve">Reincarnation frees from History centrism </t>
  </si>
  <si>
    <t>nicely explains how Hindu Dharma frees us from history centrism</t>
  </si>
  <si>
    <t>https://www.youtube.com/watch?v=vSLKEwGRgbY</t>
  </si>
  <si>
    <t>Manindra Thakur Event Jan 2012 Vid 2 - Participants remarks on Decolonizing the Social Sciences</t>
  </si>
  <si>
    <t>Abrahamic religions do not explain birth inequalities</t>
  </si>
  <si>
    <t>Like the dna/ genes drive a person's physical appearance, karma drives the soul's birth as a certain form</t>
  </si>
  <si>
    <t>Content is good, can be recast with new title</t>
  </si>
  <si>
    <t>Does karma absolve social accountability</t>
  </si>
  <si>
    <t>Since everyone is brahman, you help the brahman</t>
  </si>
  <si>
    <t>https://www.youtube.com/watch?v=67Y76FPHZ-g</t>
  </si>
  <si>
    <t>Rajiv Malhotra Lecture on Gandhi "US-India Relations at the Crossroads" UMASS Dartmouth Oct 8, 2009</t>
  </si>
  <si>
    <t>Who does accounting of karma</t>
  </si>
  <si>
    <t>it is the nature of existence, vittam virtue of dharma - once you realize that you are brahman then karma is driven by this realization</t>
  </si>
  <si>
    <t>https://www.youtube.com/watch?v=qDcBHNXLxdc</t>
  </si>
  <si>
    <t>Rajiv Malhotra Lecture on Gandhi "Using Gandhi's Lens Today" UMASS Dartmouth Oct 9, 2009</t>
  </si>
  <si>
    <t>https://www.youtube.com/watch?v=BF7tCmPOjs4</t>
  </si>
  <si>
    <t>Manindra Thakur Event Jan 2012 Vid 1 - Introduction by Prof. Thakur (JNU) &amp; Rajiv Malhotra</t>
  </si>
  <si>
    <t>Dharma is deconstruction of the "I" in self</t>
  </si>
  <si>
    <t>Meditation and other dharmic paths lead to the realization of brahman in self</t>
  </si>
  <si>
    <t>https://www.youtube.com/watch?v=UrWQfScMALY</t>
  </si>
  <si>
    <t>Rajiv Malhotra Talk at Auroville Video 1 - Differences in Philosophy</t>
  </si>
  <si>
    <t>Content is good, though video is a bit long, can this be condensed and recast with new title</t>
  </si>
  <si>
    <t>https://www.youtube.com/watch?v=6LOxjxiZ3NQ</t>
  </si>
  <si>
    <t>Rajiv Malhotra at Auroville Video 2 - Q&amp;A with Audience</t>
  </si>
  <si>
    <t>Swa-dharma, mutual respect - celebrate the diversity</t>
  </si>
  <si>
    <t>Brahman in different forms, allows people to follow their own swa-dharma, does not promote conversion to any one belief</t>
  </si>
  <si>
    <t>https://www.youtube.com/watch?v=08Xwx9vsy6w</t>
  </si>
  <si>
    <t>Rajiv Malhotra Keynote Address at JNU on: Science &amp; Indian Traditions</t>
  </si>
  <si>
    <t>https://www.youtube.com/watch?v=JErwMUETzvU</t>
  </si>
  <si>
    <t>Pondy Event Vid 4 - Comments by five prominent scholars of Sri Aurobindo</t>
  </si>
  <si>
    <t>https://www.youtube.com/watch?v=SS0UQNsxhus</t>
  </si>
  <si>
    <t>Rajiv Malhotra Debates a German U-Turner who returned to Christ from Sri Aurobindo</t>
  </si>
  <si>
    <t>Soul, Salvation,  Atman, Moksha are not same concepts</t>
  </si>
  <si>
    <t>Need to introduce sanskrit words into English</t>
  </si>
  <si>
    <t>https://www.youtube.com/watch?v=g-xyM5pVESg</t>
  </si>
  <si>
    <t>Pondy Event Vid 1 - Introduction by Anand Reddy, SACAR</t>
  </si>
  <si>
    <t>https://www.youtube.com/watch?v=vHGejHQUoio</t>
  </si>
  <si>
    <t>Pondy Event Vid 7 - Q&amp;A - New Western religions that are not history centric</t>
  </si>
  <si>
    <t>https://www.youtube.com/watch?v=3f7b_ZE5B1Y</t>
  </si>
  <si>
    <t>Pondy Event Vid 8 - Q&amp;A - Relevance to Modern Youth</t>
  </si>
  <si>
    <t>What is Purva-Paksha - in dharmic tradition</t>
  </si>
  <si>
    <t>respecting differences and having a healthy debate</t>
  </si>
  <si>
    <t>https://www.youtube.com/watch?v=kQP4pUPNjqs</t>
  </si>
  <si>
    <t>Pondicherry Event Vid 2_Rajiv Malhotra's Talk Part 1 - U Turn Theory</t>
  </si>
  <si>
    <t>In some parts, the video quality is not good but improves later. Exact video as 47. So may not be needed</t>
  </si>
  <si>
    <t>https://www.youtube.com/watch?v=hWBzG7eVqVg</t>
  </si>
  <si>
    <t>Pondy Event Vid 3 - Rajiv Malhotra Talk Part 2: BEING DIFFERENT book</t>
  </si>
  <si>
    <t>Educating the next generation</t>
  </si>
  <si>
    <t>This video is good, does not need change</t>
  </si>
  <si>
    <t>https://www.youtube.com/watch?v=7jIfpSOnmK8</t>
  </si>
  <si>
    <t>Pondy Event Vid 5 - Rajiv Malhotra's Response to the Expert Comments</t>
  </si>
  <si>
    <t>https://www.youtube.com/watch?v=qd7yTtTb_Fc</t>
  </si>
  <si>
    <t>Pondy Event Vid 9 - Director's Concluding Remarks</t>
  </si>
  <si>
    <t>https://www.youtube.com/watch?v=2WYZtS_LLog</t>
  </si>
  <si>
    <t>Indian Knowledge Systems: IIT Alumni Event, Washington DC #1</t>
  </si>
  <si>
    <t>Hindu dharma respects diversity</t>
  </si>
  <si>
    <t>https://www.youtube.com/watch?v=agP31XI_FxA</t>
  </si>
  <si>
    <t>Chinmaya Mission Washington, DC Vid 1 - Introduction</t>
  </si>
  <si>
    <t>some of this content is similar to 44.1 and 45.1</t>
  </si>
  <si>
    <t>https://www.youtube.com/watch?v=7ZD3D4mAoaE</t>
  </si>
  <si>
    <t>Indian Knowledge Systems Vid 2 - Rajiv Malhotra Q &amp; A</t>
  </si>
  <si>
    <t>https://www.youtube.com/watch?v=ANSSQQ6ZauM</t>
  </si>
  <si>
    <t>Chinmaya Mission Washington, DC Vid 2 - Difference &amp; Related Issues</t>
  </si>
  <si>
    <t>History centricism vs. Dharmic Brahman concept</t>
  </si>
  <si>
    <t>https://www.youtube.com/watch?v=OBViSvvLu-s</t>
  </si>
  <si>
    <t>Chinmaya Mission Washington, DC Vid 3 - Digestion: What, Why, How</t>
  </si>
  <si>
    <t>Content is good, can be recast with new title? Or do we retain as is</t>
  </si>
  <si>
    <t>https://www.youtube.com/watch?v=k54XQ5I1Nzo</t>
  </si>
  <si>
    <t>Chinmaya Mission Washington, DC Vid 4 - History Centrism &amp; Identity Issues</t>
  </si>
  <si>
    <t xml:space="preserve">History centrisim, the cause for Institutionalization of Abrahamic traditions </t>
  </si>
  <si>
    <t>https://www.youtube.com/watch?v=vdwHHPZwNEo</t>
  </si>
  <si>
    <t>Chinmaya Mission Washington, DC Vid 5 - Integral Unity, Chaos, Self-Organization</t>
  </si>
  <si>
    <t>https://www.youtube.com/watch?v=q1K9wPDzMjU</t>
  </si>
  <si>
    <t>Chinmaya Mission Washington, DC Vid 6 - Indian Contributions Define our Difference</t>
  </si>
  <si>
    <t>Why is there a need to manage our Hindu civilization discourse?</t>
  </si>
  <si>
    <t>Discourses shape social realities and therefore the future. It is imperative to therefore have a discourse on our civilization so that we have a say in our future rather than allow others to dictate it.</t>
  </si>
  <si>
    <t>https://www.youtube.com/watch?v=75OFJ9IX4tI</t>
  </si>
  <si>
    <t>Chinmaya Mission Washington, DC Vid 7 - Other Q &amp; A</t>
  </si>
  <si>
    <t>What is a discourse?</t>
  </si>
  <si>
    <t>https://www.youtube.com/watch?v=p6HgGSKj2m8</t>
  </si>
  <si>
    <t xml:space="preserve">Borrowing IT terminology, discourse is like the "apps" part of the equation if you consider temple etc. as the infrastructure. </t>
  </si>
  <si>
    <t>Chinmaya Mission Washington, DC Vid 8 -Book Signing</t>
  </si>
  <si>
    <t>The content is generic</t>
  </si>
  <si>
    <t>https://www.youtube.com/watch?v=cKIAV15AZcI</t>
  </si>
  <si>
    <t>University of Toronto - Q&amp;A with Rajiv Malhotra</t>
  </si>
  <si>
    <t>Is Western collaboration necessary to manage the Hindu discourse?</t>
  </si>
  <si>
    <t>Involving Western institutions will mean giving up control of what will be disseminated to them. This is like colonization all over again.</t>
  </si>
  <si>
    <t>https://www.youtube.com/watch?v=sdhISUDYvX4</t>
  </si>
  <si>
    <t>Toronto Civic Center, March 17, 2012 - Q&amp;A</t>
  </si>
  <si>
    <t>Are Hindus present in the discourse forums?</t>
  </si>
  <si>
    <t>Hindus are not sufficiently present in discourse forums, Even our gurus and acharyas are unprepared when it comes to understanding the Western point of view and presenting a solid argument. The concept of purva paksha has been forgotten. Independent thinkers are necessary to change perspectives.</t>
  </si>
  <si>
    <t>https://www.youtube.com/watch?v=T0iutxik1Eg</t>
  </si>
  <si>
    <t>Vedic Culture Center, March 18, 2012</t>
  </si>
  <si>
    <t>https://www.youtube.com/watch?v=PjvzuUMMZs4</t>
  </si>
  <si>
    <t>U of Toronto - Talks</t>
  </si>
  <si>
    <t>How Hindus can initiate discourses that cannot be ignored</t>
  </si>
  <si>
    <t>What is effective is for Hindus to hold public discourses that challenge institutions and people of today rather than criticize history. Avoiding naming names ensures that your discourse is ignored by your opponent. RM's approach has therefore been to take on public discourses/intellectual discussions with living thinkers.</t>
  </si>
  <si>
    <t>https://www.youtube.com/watch?v=HdBCunbR_jE</t>
  </si>
  <si>
    <t>Toronto Civic Center, March 17, 2012 - Lecture</t>
  </si>
  <si>
    <t>https://www.youtube.com/watch?v=vKGL9b0x_K8</t>
  </si>
  <si>
    <t>There is some coughing that I hear in the background. Can this be removed?</t>
  </si>
  <si>
    <t>U Ontario - Lecture March 19, 2012</t>
  </si>
  <si>
    <t>https://www.youtube.com/watch?v=5K-nmVDwXW0</t>
  </si>
  <si>
    <t>U Ontario - Q and A, March 19, 2012</t>
  </si>
  <si>
    <t>https://www.youtube.com/watch?v=R7mzbp-9vbk</t>
  </si>
  <si>
    <t>Hindi Mahaotsav May 12, 2012</t>
  </si>
  <si>
    <t>Tracing the growth of Anti-India causes</t>
  </si>
  <si>
    <t>RM explains how causes such as the Dravidian  identity and Dalit movement have been created and nurtured by vested interests over the years.</t>
  </si>
  <si>
    <t>https://www.youtube.com/watch?v=ucgD3lqwZX0</t>
  </si>
  <si>
    <t>Rajiv Malhotra on the Need of Academic Study of Hinduism at WAVES 2008 - Vid 1</t>
  </si>
  <si>
    <t>Who is involved in the Anti-India nexus and their modus operandi</t>
  </si>
  <si>
    <t>The Western church, evangelists, right wing politicians are the key powers and they make use of people from India to play the Dalit face.</t>
  </si>
  <si>
    <t>https://www.youtube.com/watch?v=5bAuJCTjg8s</t>
  </si>
  <si>
    <t>Rajiv Malhotra on Challenges facing Hinduism in USA at WAVES 2008 - Vid 2</t>
  </si>
  <si>
    <t>https://www.youtube.com/watch?v=d9KgrM48iGg</t>
  </si>
  <si>
    <t>Rajiv Malhotra on Challenges for Hindus in Academics at Waves 2008 - Vid 3</t>
  </si>
  <si>
    <t>https://www.youtube.com/watch?v=4h6drLmYTr8</t>
  </si>
  <si>
    <t>Rajiv Malhotra on European race theory and conversion of Jatis into Castes at Waves 2008 - Vid 4</t>
  </si>
  <si>
    <t>The anti-India forces are church based, secular left-wing think tanks, government agencies, and academics  in the US and Europe. In India the left is aligned with the right wing Christians as the common goal is to break India.</t>
  </si>
  <si>
    <t>https://www.youtube.com/watch?v=2uOiM67vK6A</t>
  </si>
  <si>
    <t>Rajiv Malhotra on Creation of Dravidian Identity among Indians at Waves 2008 - Vid 5</t>
  </si>
  <si>
    <t>The content is similar or can be clubbed with clip 33.02</t>
  </si>
  <si>
    <t>Defining who is a minority in India</t>
  </si>
  <si>
    <t>https://www.youtube.com/watch?v=Y1SUVA0PU1o</t>
  </si>
  <si>
    <t>Rajiv Malhotra on Mapping of India onto European framework at Waves 2008 - Vid 6</t>
  </si>
  <si>
    <t>The content is similar or can be clubbed with clip 22.06</t>
  </si>
  <si>
    <t>https://www.youtube.com/watch?v=yaOVnZ7W-Qc</t>
  </si>
  <si>
    <t>Rajiv Malhotra on Colonial Institutional infrastructure in India at Waves 2008 - Vid 7</t>
  </si>
  <si>
    <t>Corruption in the Christian conversion process</t>
  </si>
  <si>
    <t>Many middlemen siphon off grant money from the West to be used for conversion purposes.</t>
  </si>
  <si>
    <t>https://www.youtube.com/watch?v=hgdVPIrlSPU</t>
  </si>
  <si>
    <t>Rajiv Malhotra on British justification for colonizing India at Waves 2008 - Vid 8</t>
  </si>
  <si>
    <t>https://www.youtube.com/watch?v=8iuVX1AkV_0</t>
  </si>
  <si>
    <t>Rajiv Malhotra on 'Good Cop Bad Cop' method and expansion of West in India at Waves 2008 - Vid 9</t>
  </si>
  <si>
    <t>The content is similar or can be clubbed with clip 29.03</t>
  </si>
  <si>
    <t>https://www.youtube.com/watch?v=wH8I0vSB-Os</t>
  </si>
  <si>
    <t>Rajiv Malhotra on Origin of Liberalism in India at Waves 2008 - Vid 10</t>
  </si>
  <si>
    <t>https://www.youtube.com/watch?v=Um1LJAfSPoo</t>
  </si>
  <si>
    <t>Why Tibet is Important to People Everywhere: Rajiv Malhotra</t>
  </si>
  <si>
    <t>https://www.youtube.com/watch?v=itgdRwuvtN0</t>
  </si>
  <si>
    <t>Chicago June 2nd 2012</t>
  </si>
  <si>
    <t>https://www.youtube.com/watch?v=Z7B5IZZhoAI</t>
  </si>
  <si>
    <t>Q&amp;A at two Chicago temples, June 3, 2012</t>
  </si>
  <si>
    <t>https://www.youtube.com/watch?v=UuJzHq-Ont4</t>
  </si>
  <si>
    <t>Lecture on BEING DIFFERENT, June 3, 2012</t>
  </si>
  <si>
    <t>https://www.youtube.com/watch?v=fQxUVyFqzpA</t>
  </si>
  <si>
    <t>Introduction by head of Chinmaya Mission, Toronto May 2012</t>
  </si>
  <si>
    <t>https://www.youtube.com/watch?v=wgud4Fi47XA</t>
  </si>
  <si>
    <t>Q&amp;A at Chinmaya Mission, Toronto, May 2012</t>
  </si>
  <si>
    <t>https://www.youtube.com/watch?v=2Ew9deAuPwU</t>
  </si>
  <si>
    <t>Talk at Chinmaya Mission, Toronto, May 2012</t>
  </si>
  <si>
    <t>Analyse how Hindu Sampradya, Parampara, Family system, festivals are being viewed, misinterpreted and appropriated by west</t>
  </si>
  <si>
    <t>https://www.youtube.com/watch?v=Au_HvuB2IQc</t>
  </si>
  <si>
    <t>Christianity Explained by Rajiv Malhotra</t>
  </si>
  <si>
    <t>https://www.youtube.com/watch?v=t_J24YUQNK4</t>
  </si>
  <si>
    <t>Talk at Lakshmi Narayan Mandir, Toronto, May 25, 2012</t>
  </si>
  <si>
    <t>https://www.youtube.com/watch?v=MfzPrOKKZVo</t>
  </si>
  <si>
    <t>Keynote address at 14th annual Indian heritage day, toronto, May 26, 2012</t>
  </si>
  <si>
    <t>https://www.youtube.com/watch?v=57-MHC42i7g</t>
  </si>
  <si>
    <t>Toronto Public Discussions on Dharma Civilization, May 26 - 29, 2012</t>
  </si>
  <si>
    <t>https://www.youtube.com/watch?v=pO9qCeA640E</t>
  </si>
  <si>
    <t>Lecture-Duscussion at Vidya Bharati Foundation of Canada, May 27, 2012</t>
  </si>
  <si>
    <t>https://www.youtube.com/watch?v=17Jnr2hr0ro</t>
  </si>
  <si>
    <t>Swami Dayanand Saraswati introduces Rajiv Malhotra at The Hindu Dharma Acharya Sabha, 07 Nov 2012</t>
  </si>
  <si>
    <t>Aryan-Dravidian Divide -&gt; Dalit-non-Dalit Divide, Majority-minority divide =&gt; Hindu vs Dravidian + Dalit divide in society</t>
  </si>
  <si>
    <t>Who is responsible for assaulting indian culture</t>
  </si>
  <si>
    <t>https://www.youtube.com/watch?v=MBzty84VgRo</t>
  </si>
  <si>
    <t>Interview on Sudarshan TV, April 2013</t>
  </si>
  <si>
    <t>https://www.youtube.com/watch?v=nCmJgIvSqfU</t>
  </si>
  <si>
    <t>Brand India &amp; Narayan Murthy: Rajiv Malhotra #1</t>
  </si>
  <si>
    <t>https://www.youtube.com/watch?v=qsCWK-TQVsk</t>
  </si>
  <si>
    <t>Are Indians Buying Back Their Knowledge From the West #5</t>
  </si>
  <si>
    <t>https://www.youtube.com/watch?v=r5r1yU9O2ag</t>
  </si>
  <si>
    <t>Is Written Evidence Needed to Authenticate a Source #2</t>
  </si>
  <si>
    <t>https://www.youtube.com/watch?v=MFVzVjuj90E</t>
  </si>
  <si>
    <t>Argument with a Social Scientist at IIT Bombay: Rajiv Malhotra #3</t>
  </si>
  <si>
    <t>https://www.youtube.com/watch?v=Wu9WbgwxgjI</t>
  </si>
  <si>
    <t>How &amp; Why Rajiv Malhotra Got Involved In These Activities #4</t>
  </si>
  <si>
    <t>https://www.youtube.com/watch?v=zqnotAbf-Cc</t>
  </si>
  <si>
    <t>Chaos, Decentralization, Self Organization - Pros &amp; Cons #10</t>
  </si>
  <si>
    <t>https://www.youtube.com/watch?v=oeFU8Lk35BI</t>
  </si>
  <si>
    <t>U-Turns Caused By Our Neglect #6</t>
  </si>
  <si>
    <t>https://www.youtube.com/watch?v=NfO_yqDrGWs</t>
  </si>
  <si>
    <t>Loss of Purva-paksha Tradition and Consequences #7</t>
  </si>
  <si>
    <t>https://www.youtube.com/watch?v=uNPifASaoFM</t>
  </si>
  <si>
    <t>Social Sciences In Indian Colleges is Modelled On Western Social Constructs #9</t>
  </si>
  <si>
    <t>https://www.youtube.com/watch?v=0-LZkVdXTnc</t>
  </si>
  <si>
    <t>Decolonization, Purvapaksha, Secularism, Indian Identity #8</t>
  </si>
  <si>
    <t>https://www.youtube.com/watch?v=yIUwgFjMrg8</t>
  </si>
  <si>
    <t>Relevance of Indian Knowledge Systems: Rajiv Malhotra</t>
  </si>
  <si>
    <t>Dr. Subramanian Swamy on Building an identity of India</t>
  </si>
  <si>
    <t>Defining who an Indian is</t>
  </si>
  <si>
    <t>https://www.youtube.com/watch?v=pAHRrR6eeDU</t>
  </si>
  <si>
    <t>History of Indian Science Technology, SIES Mgt School, Mumbai: Rajiv Malhotra</t>
  </si>
  <si>
    <t>Dr. Subramanian Swamy on Breaking India forces at play</t>
  </si>
  <si>
    <t>The forces at play to break India over the years</t>
  </si>
  <si>
    <t>https://www.youtube.com/watch?v=EWnc9FdyP7s</t>
  </si>
  <si>
    <t>Commerce College 2013 1. Introduction</t>
  </si>
  <si>
    <t>Dr. Subramanian Swamy on the Aryan - Dravidian myth</t>
  </si>
  <si>
    <t>Debunking the Aryan Dravidian divide</t>
  </si>
  <si>
    <t>This clip is longer than usual but Dr. Swamy is talking on the same topic for this length of time</t>
  </si>
  <si>
    <t>https://www.youtube.com/watch?v=LI3VwCn-0WI</t>
  </si>
  <si>
    <t>Commerce College . 13 3.Discussion: We Understand the Americans better than we Understand Ourselves</t>
  </si>
  <si>
    <t>Dr. Subramanian Swamy on how India has retained a Hindu majority</t>
  </si>
  <si>
    <t>How India has managed to maintain its Hindu majority</t>
  </si>
  <si>
    <t>Dr. Subramanian Swamy on developing a Hindu identity</t>
  </si>
  <si>
    <t>Creating a collective consciousness among Hindus</t>
  </si>
  <si>
    <t>https://www.youtube.com/watch?v=yVdcSMOWtxM</t>
  </si>
  <si>
    <t>Commerce College 2013 2. - Lecture: My journey; the Indian crisis; Sensex economy and modern shudras</t>
  </si>
  <si>
    <t>Why Rajv Malhotra's arguments work for the Western audience?</t>
  </si>
  <si>
    <t>RM uses the same language and articulation style as the Western world</t>
  </si>
  <si>
    <t>https://www.youtube.com/watch?v=Yf6-fJ-LcU8</t>
  </si>
  <si>
    <t>Commerce College 2013 4. Discussion: Assimilation and retaining Civilizational Distinctiveness</t>
  </si>
  <si>
    <t>Dr. Subramanian Swamy on reservation &amp; caste system in India</t>
  </si>
  <si>
    <t>Thoughts on reservation, varna and jati</t>
  </si>
  <si>
    <t>https://www.youtube.com/watch?v=L2rJctVLi3M</t>
  </si>
  <si>
    <t>Commerce College 2013 5. Discussion: What inspired me and the role of my sadhana</t>
  </si>
  <si>
    <t>https://www.youtube.com/watch?v=wm8QHjKcDf8</t>
  </si>
  <si>
    <t>Commerce College 2013 6. Discussion: What should be goal of students - career or serve the culture</t>
  </si>
  <si>
    <t>https://www.youtube.com/watch?v=U37L8EPVc5s</t>
  </si>
  <si>
    <t>Commerce College 2013 7. Role of Indian languages, control of global standards discourse, &amp; power</t>
  </si>
  <si>
    <t>https://www.youtube.com/watch?v=ja-cxuo3ugc</t>
  </si>
  <si>
    <t>Commerce College 2013 8. Discussion: Causes of youth disconnect from deep knowledge of roots</t>
  </si>
  <si>
    <t>https://www.youtube.com/watch?v=F95dqGlnggo</t>
  </si>
  <si>
    <t>Indian Qualities that are Special &amp; Exportable_Commerce College 2013 #9</t>
  </si>
  <si>
    <t>https://www.youtube.com/watch?v=9IzjjqFO5c8</t>
  </si>
  <si>
    <t>Baba Ramdev's Ashram: A Welcome Hug &amp; Discussion on Reversing the Gaze #1</t>
  </si>
  <si>
    <t>3 years ago</t>
  </si>
  <si>
    <t>https://www.youtube.com/watch?v=5YuNKvTZtdM</t>
  </si>
  <si>
    <t>Baba Ramdev's Ashram Vid 11: How to Name &amp; Position Hindi Edition of Breaking India</t>
  </si>
  <si>
    <t>https://www.youtube.com/watch?v=XeCuvEX-tow</t>
  </si>
  <si>
    <t>Baba Ramdev's Ashram: Rajiv &amp; Baba Brainstorm #14</t>
  </si>
  <si>
    <t>https://www.youtube.com/watch?v=182HueOxCaU</t>
  </si>
  <si>
    <t>Baba Ramdev Introduces Rajiv Malhotra to his Ashram Audience #2</t>
  </si>
  <si>
    <t>https://www.youtube.com/watch?v=t63m6GCrKbw</t>
  </si>
  <si>
    <t>How Ayurveda Got Plagiarized by the Aveda Brand #5</t>
  </si>
  <si>
    <t>https://www.youtube.com/watch?v=Dymxd9hAemA</t>
  </si>
  <si>
    <t>Rajiv Malhotra Exposes How Foreign Nexuses Operate in India #4</t>
  </si>
  <si>
    <t>https://www.youtube.com/watch?v=RKYffxIB9EM</t>
  </si>
  <si>
    <t>Baba Ramdev's Ashram Vid 3: Rajiv &amp; Baba Ramdev Discuss Long Range Forces Breaking India</t>
  </si>
  <si>
    <t>Yagya is not equal to sacrifice</t>
  </si>
  <si>
    <t>https://www.youtube.com/watch?v=gU4jkSa9phY</t>
  </si>
  <si>
    <t>Overview of Rajiv's Mission to Decolonize India Studies #6</t>
  </si>
  <si>
    <t>https://www.youtube.com/watch?v=y-v-Ijc7W3Y</t>
  </si>
  <si>
    <t>Baba Ramdev's Ashram Vid 10: What inspired Rajiv to Research &amp; Write</t>
  </si>
  <si>
    <t>https://www.youtube.com/watch?v=zVH1ZOi2_yk</t>
  </si>
  <si>
    <t>Baba Ramdev's Ashram Vid 12: Baba Ramdev's Comments on Rajiv's Talk &amp; Work</t>
  </si>
  <si>
    <t>https://www.youtube.com/watch?v=F-ZzB9uBQNs</t>
  </si>
  <si>
    <t>Why People of India did not get Genocided like Native Americans: Rajiv Malhotra #9</t>
  </si>
  <si>
    <t>https://www.youtube.com/watch?v=AOQPqjRx-0c</t>
  </si>
  <si>
    <t>Baba Ramdev's Ashram Vid 8: Indian Civilization Spread by Different Means than Others</t>
  </si>
  <si>
    <t>https://www.youtube.com/watch?v=8ZJ9Ubv74Fc</t>
  </si>
  <si>
    <t>Why Rajiv Malhotra Endorses Baba Ramdev as President of India #7</t>
  </si>
  <si>
    <t>https://www.youtube.com/watch?v=9ScY3DQ8lnM</t>
  </si>
  <si>
    <t>Rajiv Malhotra's Google Hangout for a Better India</t>
  </si>
  <si>
    <t>https://www.youtube.com/watch?v=gKt4SG-pAmw</t>
  </si>
  <si>
    <t>Introduction by the Director of Vivekananda Int'l Foundation</t>
  </si>
  <si>
    <t>https://www.youtube.com/watch?v=2p91-Fy5A6Q</t>
  </si>
  <si>
    <t>Arun Shourie quotes Indra's Net to clarify 'vasudhaiva kutumbakam'</t>
  </si>
  <si>
    <t>https://www.youtube.com/watch?v=30958J1ez4k</t>
  </si>
  <si>
    <t>Conclusion and Book Signing</t>
  </si>
  <si>
    <t>https://www.youtube.com/watch?v=nEEhdprZ-EE</t>
  </si>
  <si>
    <t>Arun Shourie's Lecture on Rajiv Malhotra's Book "Indra's Net"</t>
  </si>
  <si>
    <t>https://www.youtube.com/watch?v=dXkhbNnOMy0</t>
  </si>
  <si>
    <t>Rajiv Malhotra's Lecture on Indra's Net</t>
  </si>
  <si>
    <t>https://www.youtube.com/watch?v=YD-IKZbbHeU</t>
  </si>
  <si>
    <t>Public Meeting &amp; Talk on 'Indra's Net' in Bangalore, 19 Jan 2014: Opening Ceremonies</t>
  </si>
  <si>
    <t>https://www.youtube.com/watch?v=mLEhBqCBBYE</t>
  </si>
  <si>
    <t>Public Meeting &amp; Talk on 'Indra's Net' Bangalore, 1/19/2014: Is Hinduism defined as a way of life?</t>
  </si>
  <si>
    <t>https://www.youtube.com/watch?v=cshbkDak_p0</t>
  </si>
  <si>
    <t>Public Meeting &amp; Talk on 'Indra's Net' Bangalore, 1/19/2014: Why is the book titled 'Indra's Net'?</t>
  </si>
  <si>
    <t>https://www.youtube.com/watch?v=kmJLZRzZhUA</t>
  </si>
  <si>
    <t>Rajiv Malhotra Talk on new Book 'Indra's Net' Bengaluru: What should we do about media biases</t>
  </si>
  <si>
    <t>https://www.youtube.com/watch?v=myyrtrylWQs</t>
  </si>
  <si>
    <t>Public Meeting &amp; Talk on "Indra's Net" Bangalore 1/19/14: Where do you see India in the year 2020?</t>
  </si>
  <si>
    <t>https://www.youtube.com/watch?v=v6x52noLJOo</t>
  </si>
  <si>
    <t>Talk on 'Indra's Net': Clarification on Mutual Respect</t>
  </si>
  <si>
    <t>https://www.youtube.com/watch?v=7zvf9bnLgs8</t>
  </si>
  <si>
    <t>What is wrong with Ford Foundation: Rajiv Malhotra</t>
  </si>
  <si>
    <t>https://www.youtube.com/watch?v=7RTlRYpr7o8</t>
  </si>
  <si>
    <t>Public Meeting &amp; Talk on 'Indra's Net' in Bangalore 1/19/14: Description of Rajiv's Bangalore trip</t>
  </si>
  <si>
    <t>https://www.youtube.com/watch?v=Th1s8XrKhnk</t>
  </si>
  <si>
    <t>Public Meeting/Talk on 'Indra's Net' Bangalore 1/19/14: Release Kannada edition of Being Different</t>
  </si>
  <si>
    <t>https://www.youtube.com/watch?v=oYXPvuD_ejM</t>
  </si>
  <si>
    <t>Talk on his The Book 'Indra's Net' by Rajiv Malhotra in Bangalore</t>
  </si>
  <si>
    <t>This can be dropped</t>
  </si>
  <si>
    <t>https://www.youtube.com/watch?v=Cs9JbmZ0poM</t>
  </si>
  <si>
    <t>'Indra's Net': Sri Sri Sri Nirmalanandanath Swamy's Address</t>
  </si>
  <si>
    <t>https://www.youtube.com/watch?v=xGvABG6vfLg</t>
  </si>
  <si>
    <t>Public Meeting/Talk Indra's Net, Bangalore 1/19/14: N Kumar-Justice of Karnataka High Court Address</t>
  </si>
  <si>
    <t>https://www.youtube.com/watch?v=QfYz6BBYpWg</t>
  </si>
  <si>
    <t>Public Meeting &amp; Talk on 'Indra's Net' Bangalore 1/19/14: Conclusion of the event</t>
  </si>
  <si>
    <t>https://www.youtube.com/watch?v=-rJtFWVJpjA</t>
  </si>
  <si>
    <t>Ramakrishna Mission's Institute of Culture, Kolkata: Relationship between spirituality &amp; science?</t>
  </si>
  <si>
    <t>https://www.youtube.com/watch?v=iY88UCitwGY</t>
  </si>
  <si>
    <t>Ramakrishna Mission's Institute of Culture, Kolkata: Q&amp;A - Concerning the use of the word "Hindu"</t>
  </si>
  <si>
    <t>https://www.youtube.com/watch?v=KBA7GLExw3o</t>
  </si>
  <si>
    <t>Ramakrishna Mission's Institute of Culture, Kolkata: Q&amp;A - Who composes a Grand Narrative?</t>
  </si>
  <si>
    <t>https://www.youtube.com/watch?v=DoYL7K2djDY</t>
  </si>
  <si>
    <t>Is The Grand Narrative Divisive? How To Protect Our Openness?</t>
  </si>
  <si>
    <t>Replace this with video of better quality.</t>
  </si>
  <si>
    <t>https://www.youtube.com/watch?v=GajqTVRZzfE</t>
  </si>
  <si>
    <t>Ramakrishna Mission's Institute of Culture, Kolkata: Rajiv Malhotra's Lecture</t>
  </si>
  <si>
    <t>https://www.youtube.com/watch?v=QPVDHJcsv5U</t>
  </si>
  <si>
    <t>Let's Protect Our Adhyatmic (Inner) Sciences From Quackery: Rajiv Malhotra</t>
  </si>
  <si>
    <t>https://www.youtube.com/watch?v=pfw-rEK12IA</t>
  </si>
  <si>
    <t>IITK Indian Mind Sciences &amp; Their Importance Today:Loss of Liberal Arts &amp; Creativity in Indian Univ</t>
  </si>
  <si>
    <t>https://www.youtube.com/watch?v=4H5piNrmsCU</t>
  </si>
  <si>
    <t>IIT Kharagpur Indian Mind Sciences &amp; Their Importance Today: Rajiv's Guest Lecture</t>
  </si>
  <si>
    <t>https://www.youtube.com/watch?v=bEc29vVNLOc</t>
  </si>
  <si>
    <t>IITK Indian Mind Sciences &amp; Their Importance Today: correct histories to pursue inner sciences</t>
  </si>
  <si>
    <t>https://www.youtube.com/watch?v=7WA-8QBd5Tk</t>
  </si>
  <si>
    <t>IIT Kharagpur Indian Mind Sciences &amp; Their Importance Today: Inner Sciences &amp; Simple Living</t>
  </si>
  <si>
    <t>https://www.youtube.com/watch?v=3asYCknfoMo</t>
  </si>
  <si>
    <t>IITK Indian Mind Sciences &amp; Their Importance Today: Advance Indian Ed Beyond Supplying Tech Coolies</t>
  </si>
  <si>
    <t>https://www.youtube.com/watch?v=4gAHt9ki2xY</t>
  </si>
  <si>
    <t>Dr. Deepika Kothari introduces her film at launch of 'History of Yoga' film, Mumbai 1/26/2014</t>
  </si>
  <si>
    <t>https://www.youtube.com/watch?v=TbQkh6axHEM</t>
  </si>
  <si>
    <t>Rajiv Malhotra Lecture as Chief Guest at launch of 'History of Yoga' film, Mumbai 1/26/2014</t>
  </si>
  <si>
    <t>https://www.youtube.com/watch?v=1_8y5fSSOlE</t>
  </si>
  <si>
    <t>Rajiv Malhotra's Endorsement of the Film, "History of Yoga"</t>
  </si>
  <si>
    <t>https://www.youtube.com/watch?v=jaw4U_s24zo</t>
  </si>
  <si>
    <t>Event Introduction - Indus University Release of Indra's Net Jan 29 2014</t>
  </si>
  <si>
    <t>https://www.youtube.com/watch?v=R2XPp4eJXLk</t>
  </si>
  <si>
    <t>Indus University Release of The Book Indra's Net_Q&amp;A</t>
  </si>
  <si>
    <t>https://www.youtube.com/watch?v=d9iObjKR5yI</t>
  </si>
  <si>
    <t>India's Grand Narrative &amp; Talk on The Book 'Indra's Net' at Indus Uniersity</t>
  </si>
  <si>
    <t>https://www.youtube.com/watch?v=Ow3nJA8fhhQ</t>
  </si>
  <si>
    <t>Rajiv Malhotra in Conversation with Mohandas Pai - Bangalore Literary Festival</t>
  </si>
  <si>
    <t>2 years ago</t>
  </si>
  <si>
    <t>https://www.youtube.com/watch?v=yr_-UHm07rM</t>
  </si>
  <si>
    <t>Rajiv Malhotra Panel Bangalore Literature Festival Sept, 2014</t>
  </si>
  <si>
    <t>https://www.youtube.com/watch?v=JNg9hu1QURw</t>
  </si>
  <si>
    <t>Rajiv in conversation w/ Rajendra Pawar Chairman &amp; Harpal Singh Trustee, NIIT</t>
  </si>
  <si>
    <t>https://www.youtube.com/watch?v=11Ben3IvDQ0</t>
  </si>
  <si>
    <t>Rajiv Malhotra's inaugural message at the launch of the ASIAN LENS initiative by NIIT University</t>
  </si>
  <si>
    <t>https://www.youtube.com/watch?v=xjZO-uNelDI</t>
  </si>
  <si>
    <t>1. Introduction to Q&amp;A session in Washington DC</t>
  </si>
  <si>
    <t>https://www.youtube.com/watch?v=6oKx_bFPSSA</t>
  </si>
  <si>
    <t>2. Rajiv describes the stages of his own journey over the past 20 years</t>
  </si>
  <si>
    <t>https://www.youtube.com/watch?v=_Anq0CTYGt8</t>
  </si>
  <si>
    <t>3. Who is Rajiv's guru</t>
  </si>
  <si>
    <t>https://www.youtube.com/watch?v=_xIbCmTtK8s</t>
  </si>
  <si>
    <t>4. What are the four books Rajiv has published thus far</t>
  </si>
  <si>
    <t>https://www.youtube.com/watch?v=qGie_-i1j6o</t>
  </si>
  <si>
    <t>What is Neo Hinduism &amp; Why Our Opponents Want to Propagate it #5</t>
  </si>
  <si>
    <t>https://www.youtube.com/watch?v=VwTbkm1NN4Y</t>
  </si>
  <si>
    <t>Why is Namaz Practice in Islam Not 'Embodied' in the Dharma Sense #6</t>
  </si>
  <si>
    <t>https://www.youtube.com/watch?v=WQObFfIG62Q</t>
  </si>
  <si>
    <t>7. Explain your goal of being non ignorable</t>
  </si>
  <si>
    <t>https://www.youtube.com/watch?v=CouNRYMLDmY</t>
  </si>
  <si>
    <t>8. What are your issues with funding India related chairs in the West</t>
  </si>
  <si>
    <t>https://www.youtube.com/watch?v=ZWkU2WQv4mM</t>
  </si>
  <si>
    <t>9. How should we infiltrate the Western academy</t>
  </si>
  <si>
    <t>https://www.youtube.com/watch?v=ziCW-l-SXRM</t>
  </si>
  <si>
    <t>What Should Hindus do to Compete Against Church Seminaries Producing Research #10</t>
  </si>
  <si>
    <t>https://www.youtube.com/watch?v=mNRX-8C-RmY</t>
  </si>
  <si>
    <t>11. How to scale up Rajiv's work to become like a research seminary</t>
  </si>
  <si>
    <t>https://www.youtube.com/watch?v=hH3jbt-s4aY</t>
  </si>
  <si>
    <t>Rajiv Malhotra in conversation with Aam Admi Party leaders just before election</t>
  </si>
  <si>
    <t>Harvard Medical School- Discoveries in the science of Meditation</t>
  </si>
  <si>
    <t>https://www.youtube.com/watch?v=zyTsxv3NJzA</t>
  </si>
  <si>
    <t>Rajiv Malhotra: Chief Guest Manipal Univ_Intl Conf on Language &amp; Literature</t>
  </si>
  <si>
    <t>Famous as the originator of Stress Management in the West. Author of Best Seller book Emotional Intelligence</t>
  </si>
  <si>
    <t>https://www.youtube.com/watch?v=yYhGJH2NjBA</t>
  </si>
  <si>
    <t>Western Dichotomies towards Dharma - Rajiv Malhotra Lecture at India House, Houston Dec 13 2014</t>
  </si>
  <si>
    <t xml:space="preserve">Reverse Heart Disease Cardiac Treatment Experimenter
</t>
  </si>
  <si>
    <t>https://www.youtube.com/watch?v=R_G2Gd70LiY</t>
  </si>
  <si>
    <t>Hindu-Christian Debate Between Rajiv Malhotra &amp; Christian Eberhart</t>
  </si>
  <si>
    <t xml:space="preserve">Founder of Mindful Mediation. Which is originally Vipassana
</t>
  </si>
  <si>
    <t>https://www.youtube.com/watch?v=k6dsew1B6SE</t>
  </si>
  <si>
    <t>Indian Americans &amp; Indian Grand Narrative - Rajiv Malhotra Lecture/Q&amp;A Woodlands Temple Dec 14 2014</t>
  </si>
  <si>
    <t>Prominent Professor of Cognitive Sciences At Stanford University. Yoga Nidra, Lucid Dreaming experiment.</t>
  </si>
  <si>
    <t>https://www.youtube.com/watch?v=X4TDNzwe3s4</t>
  </si>
  <si>
    <t>John Dayal - Debating foreign funded NGOs with John Dayal and others</t>
  </si>
  <si>
    <t>https://www.youtube.com/watch?v=_OWY_haNDNI</t>
  </si>
  <si>
    <t>Rajiv Malhotra: Debating Foreign Funded NGOs with John Dayal &amp; others</t>
  </si>
  <si>
    <t>Roberto Assagioli - Contemporary of Freud and the founder of psycho-synthesis. Transpersonal Psychology</t>
  </si>
  <si>
    <t>https://www.youtube.com/watch?v=s1VIjn0qPQg</t>
  </si>
  <si>
    <t>NDTV 'We the People' debate on Foreign NGOs moderated by Barkha Dutt</t>
  </si>
  <si>
    <t>Latest icon of Transpersonal Psychology in the west</t>
  </si>
  <si>
    <t>https://www.youtube.com/watch?v=NpqJHyWjh7A</t>
  </si>
  <si>
    <t>Rajiv Opening Remarks - JNU Roundtable on Decolonizing the Academy &amp; Debating breaking India forces</t>
  </si>
  <si>
    <t>https://www.youtube.com/watch?v=m9xF54UZFuY</t>
  </si>
  <si>
    <t>Dr. Tribhuvan Singh - JNU Roundtable on Decolonizing the Academy &amp; Debating breaking India forces</t>
  </si>
  <si>
    <t>https://www.youtube.com/watch?v=srr9jTynwdo</t>
  </si>
  <si>
    <t>Dr. Udit Raj Talk - JNU Roundtable on Decolonizing the Academy &amp; Debating Breaking India Forces</t>
  </si>
  <si>
    <t>https://www.youtube.com/watch?v=w5KPpzfrQQY</t>
  </si>
  <si>
    <t>Prof Girish Nath Jha - JNU Roundtable on Decolonizing the Academy &amp; Debating Breaking India Forces</t>
  </si>
  <si>
    <t>https://www.youtube.com/watch?v=AuVaei10Du0</t>
  </si>
  <si>
    <t>Concluding discussion turns into shouting match between students &amp; Udit Raj - JNU Roundtable</t>
  </si>
  <si>
    <t>https://www.youtube.com/watch?v=1GLaXQ6Rgcg</t>
  </si>
  <si>
    <t>Rajiv Malhotra's Talk at Art of Living: Where is Dharma in the 21st Century</t>
  </si>
  <si>
    <t>https://www.youtube.com/watch?v=FKg_FjS3qZw</t>
  </si>
  <si>
    <t>The Evolution of Yajna: Rajiv Malhotra at Maharishi University</t>
  </si>
  <si>
    <t>https://www.youtube.com/watch?v=EHQ6eLHDs78</t>
  </si>
  <si>
    <t>Are Indians ignoring our civilization while the West appropriates it</t>
  </si>
  <si>
    <t>https://www.youtube.com/watch?v=-cC-ErXYdnI</t>
  </si>
  <si>
    <t>Debate on 'Hinduism &amp; Indian Grand Narrative', Delhi Univ Psychology Dept</t>
  </si>
  <si>
    <t>https://www.youtube.com/watch?v=dZCZp5udJeI</t>
  </si>
  <si>
    <t>Are Sanskrit Studies in the West becoming the New Orientalism?</t>
  </si>
  <si>
    <t>https://www.youtube.com/watch?v=O5i1SD7KFkI</t>
  </si>
  <si>
    <t>Lecture on Dharma, Sanskrit &amp; Science, Goa, Feb 26, 2015</t>
  </si>
  <si>
    <t>https://www.youtube.com/watch?v=Q3ZGmGasWfc</t>
  </si>
  <si>
    <t>Lecture 'Is our Sanskriti being distorted by the Americanization of Sanskrit Studies' at Sastra Univ</t>
  </si>
  <si>
    <t>https://www.youtube.com/watch?v=JbxzX8kwig4</t>
  </si>
  <si>
    <t>World Sanskrit Congress 2015: Is Sanskrit Dead or Alive, Political or Sacred</t>
  </si>
  <si>
    <t>https://www.youtube.com/watch?v=Uxcvh2BQu1g</t>
  </si>
  <si>
    <t>Rajiv Malhotra's The Battle of Sanskrit Launch, Samskrita Bharati, Bengaluru</t>
  </si>
  <si>
    <t>1 year ago</t>
  </si>
  <si>
    <t>Dowry murders Delhi and Insurance Killing in New York a comparison</t>
  </si>
  <si>
    <t>https://www.youtube.com/watch?v=0-Ishanuvj8</t>
  </si>
  <si>
    <t>The Importance of Swadeshi Indology: Rajiv Malhotra</t>
  </si>
  <si>
    <t>https://www.youtube.com/watch?v=j84sUcOTBRM</t>
  </si>
  <si>
    <t>Reversing the Gaze (Purva-Paksha) on Western Indology, Karnataka Sanskrit University</t>
  </si>
  <si>
    <t>Academic studies about India are prejudice</t>
  </si>
  <si>
    <t>https://www.youtube.com/watch?v=NQUbNykwFG4</t>
  </si>
  <si>
    <t>"Taking back our heritage: My message to India's youth" at IIT Madras</t>
  </si>
  <si>
    <t>https://www.youtube.com/watch?v=zILqg37PouM</t>
  </si>
  <si>
    <t>Roddam Narasimha &amp; Mohandas Pai discuss "The Battle For Sanskrit" with Rajiv Malhotra</t>
  </si>
  <si>
    <t>https://www.youtube.com/watch?v=fzzIeVO7-qk</t>
  </si>
  <si>
    <t>Rajiv Malhotra's Encounter With The Indian Left at Tata Institute of Social Sciences</t>
  </si>
  <si>
    <t>https://www.youtube.com/watch?v=-fhrU0xoCgk</t>
  </si>
  <si>
    <t>In conversation with Madhu Kishwar: The Battle For Sanskrit</t>
  </si>
  <si>
    <t>What is Indian Grand Narrative?</t>
  </si>
  <si>
    <t>https://www.youtube.com/watch?v=OXYcMlprdL4</t>
  </si>
  <si>
    <t>"Geopolitics &amp; the study of Indian Civilization": A very large event at IIT Bombay</t>
  </si>
  <si>
    <t>https://www.youtube.com/watch?v=yZ08CJsgurU</t>
  </si>
  <si>
    <t>Zee News_Rohit Sardana Interviews Rajiv Malhotra_Feb 2016</t>
  </si>
  <si>
    <t>https://www.youtube.com/watch?v=c13ZN5rYckE</t>
  </si>
  <si>
    <t>Sri Sri Ravi Shankar Launches "The Battle For Sanskrit" in Art of Living Campus, Bangalore</t>
  </si>
  <si>
    <t>https://www.youtube.com/watch?v=p3i_mI87a3E</t>
  </si>
  <si>
    <t>Chinmaya Mission, Amish Tripathi &amp; Rajiv Malhotra discuss "The Battle For Sanskrit"</t>
  </si>
  <si>
    <t>https://www.youtube.com/watch?v=FrXBeS9Vj40</t>
  </si>
  <si>
    <t>Art of Living: "The Battle For Sanskrit" talk in Bangalore ashram</t>
  </si>
  <si>
    <t>https://www.youtube.com/watch?v=kaJQx-nXg6M</t>
  </si>
  <si>
    <t>Rajiv Malhotra responds to questions at a Vedic Gurukulam, Bidadi</t>
  </si>
  <si>
    <t>https://www.youtube.com/watch?v=fyMRRD_YeRI</t>
  </si>
  <si>
    <t>Ramakrishna Mission (Chennai) presents Rajiv Malhotra's talk/Q&amp;A on: Sacredness and Sanskrit</t>
  </si>
  <si>
    <t>https://www.youtube.com/watch?v=OHn7cvWw5gE</t>
  </si>
  <si>
    <t>JNU: Rajiv Malhotra's New Book THE BATTLE FOR SANSKRIT_full video</t>
  </si>
  <si>
    <t>https://www.youtube.com/watch?v=tBf6vZKjL9w</t>
  </si>
  <si>
    <t>Battle For Sanskrit: How Samskrita Bharati &amp; Rajiv Malhotra can collaborate</t>
  </si>
  <si>
    <t>https://www.youtube.com/watch?v=tNKCTknE59M</t>
  </si>
  <si>
    <t>Rajiv Malhotra Darshan with Kanchi Shankaracharyas to Discuss Common Interests</t>
  </si>
  <si>
    <t>https://www.youtube.com/watch?v=0DzUUFbFZHs</t>
  </si>
  <si>
    <t>"Removing the burqa from our minds": Rajiv Malhotra's lecture &amp; interaction in Bangalore</t>
  </si>
  <si>
    <t>https://www.youtube.com/watch?v=59-D2X_vmlA</t>
  </si>
  <si>
    <t>Delhi University's distinguished panel discusses THE BATTLE FOR SANSKRIT</t>
  </si>
  <si>
    <t>https://www.youtube.com/watch?v=NhDs3OPqMQ4</t>
  </si>
  <si>
    <t>Rajiv Malhotra interviewed by young California enterpreneur, Balaji Srinivasan</t>
  </si>
  <si>
    <t>https://www.youtube.com/watch?v=7JNUG5Lyals</t>
  </si>
  <si>
    <t>Are Indian Intellectuals Free Thinkers or Colonized: Indus University, TBFS Launch</t>
  </si>
  <si>
    <t>https://www.youtube.com/watch?v=T-iBVjoTxpY</t>
  </si>
  <si>
    <t>Kanchi Shankaracharya's devotees in USA discuss "The Battle For Sanskrit"</t>
  </si>
  <si>
    <t>https://www.youtube.com/watch?v=2RlQdQoP4mE</t>
  </si>
  <si>
    <t>Will Indian Corporate Leaders Support Swadeshi Indology?</t>
  </si>
  <si>
    <t>https://www.youtube.com/watch?v=9eSzra79z-I</t>
  </si>
  <si>
    <t>"The Battle For Sanskrit" discussed by Ramesh Pandey, VC of L.B.S. Rashtriya Sanskrit Vidyapeeth</t>
  </si>
  <si>
    <t>https://www.youtube.com/watch?v=t5AEphve0P8</t>
  </si>
  <si>
    <t>Samskrita Bharati panel discussion in Delhi: "The Battle For Sanskrit"</t>
  </si>
  <si>
    <t>https://www.youtube.com/watch?v=zm-fPGwlflY</t>
  </si>
  <si>
    <t>Prof P.N. Shastry, VC, Rashtriya Sanskrit Sansthan, discusses "The Battle For Sanskrit"</t>
  </si>
  <si>
    <t>https://www.youtube.com/watch?v=Iimv8qJijTE</t>
  </si>
  <si>
    <t>Dr Kutumba Sastry, President, International Association of Sanskrit Studies</t>
  </si>
  <si>
    <t>https://www.youtube.com/watch?v=kpktr2ml8m8</t>
  </si>
  <si>
    <t>Bibek Debroy on "The Battle for Sanskrit"</t>
  </si>
  <si>
    <t>https://www.youtube.com/watch?v=jB9efRnouaI</t>
  </si>
  <si>
    <t>Rajiv Malhotra talk in Delhi Samskrita Bharati</t>
  </si>
  <si>
    <t>https://www.youtube.com/watch?v=r2uhf3x6oH8</t>
  </si>
  <si>
    <t>Q&amp;A on The Battle For Sanskrit. Samskrita Bharati event in Delhi</t>
  </si>
  <si>
    <t>https://www.youtube.com/watch?v=G-AjF_4Jc1I</t>
  </si>
  <si>
    <t>How to be an intellectual kshatriya, by Rajiv Malhotra</t>
  </si>
  <si>
    <t>https://www.youtube.com/watch?v=hbcWYVaowqI</t>
  </si>
  <si>
    <t>Swami Harshananda (senior monk of RK Mission) blessings at Intellectual Kshatriya workshop</t>
  </si>
  <si>
    <t>https://www.youtube.com/watch?v=olQlPZuEWLY</t>
  </si>
  <si>
    <t>Columbia University Talk "Hinduphobia in Academia": Rajiv Malhotra</t>
  </si>
  <si>
    <t>https://www.youtube.com/watch?v=fwbLw9W9GC8</t>
  </si>
  <si>
    <t>Rajiv Malhotra at MIT: The Force Awakens</t>
  </si>
  <si>
    <t>https://www.youtube.com/watch?v=XcIm7eWfJ_M</t>
  </si>
  <si>
    <t>NewsX: Dr Subramanian Swamy's Endorsement for Rajiv Malhotra</t>
  </si>
  <si>
    <t>https://www.youtube.com/watch?v=tD7VxQAIPLM</t>
  </si>
  <si>
    <t>Difference Between British Era Sepoys &amp; Today's Intellectual Sepoys</t>
  </si>
  <si>
    <t>https://www.youtube.com/watch?v=RaNpNJVvWDI</t>
  </si>
  <si>
    <t>People like Devdutt Pattanaik Subvert Hinduism While Seeming to Help it</t>
  </si>
  <si>
    <t>https://www.youtube.com/watch?v=sdUuukDpj9s</t>
  </si>
  <si>
    <t>History-Centrism &amp; Dharma vis a vis Religion: Rajiv Malhotra</t>
  </si>
  <si>
    <t>https://www.youtube.com/watch?v=jQ47l4DT1BY</t>
  </si>
  <si>
    <t>Rajiv Malhotra explains the difference between Intellectual Kshatriya and Emotional Kshatriya</t>
  </si>
  <si>
    <t>https://www.youtube.com/watch?v=WkR5PD16sCg</t>
  </si>
  <si>
    <t>Rajiv explains how Hindu values of tapas get distorted by naive Hindus selling out to US pop culture</t>
  </si>
  <si>
    <t>https://www.youtube.com/watch?v=wXSD2PQznXI</t>
  </si>
  <si>
    <t>Rajiv Malhotra explains what it takes to become an Intellectual Kshatriya</t>
  </si>
  <si>
    <t>https://www.youtube.com/watch?v=p4NkqPPh2fk</t>
  </si>
  <si>
    <t>Rajiv Malhotra explains common misunderstanding of Maya among Hindus</t>
  </si>
  <si>
    <t>https://www.youtube.com/watch?v=7bZemcM70W0</t>
  </si>
  <si>
    <t>Rajiv Malhotra on 'Analysis of the Kurukshetra'. Interviewed by Vijaya Vishwanathan</t>
  </si>
  <si>
    <t>https://www.youtube.com/watch?v=GpEk4HU0r2Y</t>
  </si>
  <si>
    <t>Wendy Doniger's Erotic Psychoanalysis Theory Has Not Been Countered: Rajiv Malhotra #1</t>
  </si>
  <si>
    <t>https://www.youtube.com/watch?v=322EiuTqg7w</t>
  </si>
  <si>
    <t>When Devdutt Pattanaik Reduces Indian Itihas to Myth, it is Freud's Ideas he is propagating #2</t>
  </si>
  <si>
    <t>https://www.youtube.com/watch?v=liKAbE7beNI</t>
  </si>
  <si>
    <t>Rajiv Malhotra &amp; Dr Swamy talk on Christian Missionaries Religion Conversion Tactics</t>
  </si>
  <si>
    <t>https://www.youtube.com/watch?v=3eTjsY7w5kM</t>
  </si>
  <si>
    <t>4 Rajiv Malhotra: Dealing with Dharma transforms even the most rooted Abrahamic</t>
  </si>
  <si>
    <t>https://www.youtube.com/watch?v=afXofZLlzB4</t>
  </si>
  <si>
    <t>5 Are today's Pandavas sitting in the VIP lounge watching the action on the battlefield with binocu</t>
  </si>
  <si>
    <t>https://www.youtube.com/watch?v=gtDa8NLyc74</t>
  </si>
  <si>
    <t>3 Rajiv Malhotra explains the five types of people in the kurukshetra and analysis of each</t>
  </si>
  <si>
    <t>https://www.youtube.com/watch?v=zgOMSgegwGk</t>
  </si>
  <si>
    <t>"Where are the Pandavas?" Rajiv Malhotra interviewed by Vijaya Vishwanathan</t>
  </si>
  <si>
    <t>https://www.youtube.com/watch?v=Xk3tQcQ1QcQ</t>
  </si>
  <si>
    <t>Rajiv Malhotra on NDTV's We the People_Debate on Foreign NGOs #1</t>
  </si>
  <si>
    <t>https://www.youtube.com/watch?v=MP4mGKSR2-0</t>
  </si>
  <si>
    <t>KUPPUSWAMI SASTRI RESEARCH INSTITUTE (KSRI), Chennai, hosts Distinguished Lecture by Rajiv Malhotra</t>
  </si>
  <si>
    <t>https://www.youtube.com/watch?v=55sjF1l4Hu0</t>
  </si>
  <si>
    <t>Role of Hindu Temples: Rajiv Malhotra</t>
  </si>
  <si>
    <t>https://www.youtube.com/watch?v=LkTTH9gGQwA</t>
  </si>
  <si>
    <t>Rajiv Malhotra Motivates JNU Students to Speak Up Against Biased Professors #16</t>
  </si>
  <si>
    <t>https://www.youtube.com/watch?v=cuauchPBFCY</t>
  </si>
  <si>
    <t>N. Gopalaswami, former Chief Election Commissioner of India, and Rajiv Malhotra discuss TBFS</t>
  </si>
  <si>
    <t>https://www.youtube.com/watch?v=oeJfmsvMRBs</t>
  </si>
  <si>
    <t>The Attack on Kumbh Mela - Rajiv Malhotra Series on "Facebook LIVE" Part 1</t>
  </si>
  <si>
    <t>https://www.youtube.com/watch?v=vEdOCEkdY9Q</t>
  </si>
  <si>
    <t>Indian Comfort With What is Termed as Chaos: Rajiv Malhotra #1</t>
  </si>
  <si>
    <t>https://www.youtube.com/watch?v=Cv8kec-TugY</t>
  </si>
  <si>
    <t>Islamic destruction of temples can't be compared to local rivalries causing destruction #17</t>
  </si>
  <si>
    <t>https://www.youtube.com/watch?v=Uk3mD3cAFXg</t>
  </si>
  <si>
    <t>How YOU can help in the Kurukshetra &amp; Increase our Impact: Rajiv Malhotra</t>
  </si>
  <si>
    <t>https://www.youtube.com/watch?v=spEEA-o1zlE</t>
  </si>
  <si>
    <t>Rajiv Malhotra Explains the History of Indian Science &amp; Technology Volumes</t>
  </si>
  <si>
    <t>https://www.youtube.com/watch?v=7cA62ZHlWx0</t>
  </si>
  <si>
    <t>Rajiv Malhotra: When diversity is turned into vote bank, unity suffers #6</t>
  </si>
  <si>
    <t>https://www.youtube.com/watch?v=M8Xez56Bg9c</t>
  </si>
  <si>
    <t>Smritis are not frozen, need to be changed according to time &amp; context: Rajiv Malhotra #7</t>
  </si>
  <si>
    <t>https://www.youtube.com/watch?v=5U64D5B9-O0</t>
  </si>
  <si>
    <t>Rajiv Malhotra: #1 How Hindu Open Architecture is the Bedrock of Indian Identity</t>
  </si>
  <si>
    <t>https://www.youtube.com/watch?v=fKsfq4rFzbA</t>
  </si>
  <si>
    <t>How Hindu Inferiority Complex Blocks Development of Indian Grand Narrative #2</t>
  </si>
  <si>
    <t>https://www.youtube.com/watch?v=zKr-cYKprD8</t>
  </si>
  <si>
    <t>Rajiv Malhotra: Apathy, Ignorance, Laziness of Indians regarding their Civilization</t>
  </si>
  <si>
    <t>https://www.youtube.com/watch?v=YHee5lF9yPc</t>
  </si>
  <si>
    <t>When Muslims &amp; Christians are More Equal than Hindus: Rajiv Malhotra #3</t>
  </si>
  <si>
    <t>https://www.youtube.com/watch?v=8xbYHg11ROo</t>
  </si>
  <si>
    <t>Rajiv Malhotra: #4 Caste Based Reservations Act as Vote Bank</t>
  </si>
  <si>
    <t>https://www.youtube.com/watch?v=yp1ZVELrxIA</t>
  </si>
  <si>
    <t>Rajiv Malhotra: #5 Funding Swadeshi Scholarship for Swadeshi Viewpoint</t>
  </si>
  <si>
    <t>https://www.youtube.com/watch?v=JkoZriLo3fA</t>
  </si>
  <si>
    <t>If All Religions Are The Same Then Why Remain Hindu: Rajiv Malhotra</t>
  </si>
  <si>
    <t>https://www.youtube.com/watch?v=hPD7CW4JiSA</t>
  </si>
  <si>
    <t>Rajiv Malhotra: Caste Cow Curry Joke in India #7</t>
  </si>
  <si>
    <t>https://www.youtube.com/watch?v=wKE7d6nLsDM</t>
  </si>
  <si>
    <t>How Christianity Inc is the Largest MNC in the World: Rajiv Malhotra #1</t>
  </si>
  <si>
    <t>https://www.youtube.com/watch?v=dlQfycnk550</t>
  </si>
  <si>
    <t>Christianity Needs Major Reform: Rajiv Malhotra #2</t>
  </si>
  <si>
    <t>https://www.youtube.com/watch?v=dgXtHzSngX0</t>
  </si>
  <si>
    <t>The False "Aryan Dravidian" Divide is Part of Official Govt Discourse on India: Rajiv Malhotra</t>
  </si>
  <si>
    <t>https://www.youtube.com/watch?v=Xml5nVm8bg0</t>
  </si>
  <si>
    <t>DIGESTION of Hindusim into Christianity: Rajiv Malhotra #7</t>
  </si>
  <si>
    <t>11 months ago</t>
  </si>
  <si>
    <t>https://www.youtube.com/watch?v=I6Nwopg3FIw</t>
  </si>
  <si>
    <t>Rajiv Malhotra: Sanskrit Protects Dharma From Digestion</t>
  </si>
  <si>
    <t>https://www.youtube.com/watch?v=QT3p6iGNrkU</t>
  </si>
  <si>
    <t>The Attack on Kumbh Mela - Rajiv Malhotra Series on "Facebook LIVE" Part 2</t>
  </si>
  <si>
    <t>https://www.youtube.com/watch?v=DYtc95s7Kpc</t>
  </si>
  <si>
    <t>Response to Young Law Student &amp; Human Rights Activist #2</t>
  </si>
  <si>
    <t>https://www.youtube.com/watch?v=Lg0JLlBHCgA</t>
  </si>
  <si>
    <t>Rajiv Malhotra responds: Why do we need others legitimacy if we are 1/6th of the world</t>
  </si>
  <si>
    <t>https://www.youtube.com/watch?v=ZpdQsUkjwMc</t>
  </si>
  <si>
    <t>The Attack on Kumbh Mela - Rajiv Malhotra Series on "Facebook LIVE" Part 3</t>
  </si>
  <si>
    <t>https://www.youtube.com/watch?v=xA9TKhOjY24</t>
  </si>
  <si>
    <t>Rajiv Malhotra Discusses the Idea of India &amp; Indian Identity</t>
  </si>
  <si>
    <t>https://www.youtube.com/watch?v=w2e5eqI49cE</t>
  </si>
  <si>
    <t>Rajiv Malhotra: Difference Between Tolerance and Mutual Respect #4</t>
  </si>
  <si>
    <t>https://www.youtube.com/watch?v=qY5oQOirve4</t>
  </si>
  <si>
    <t>JNU student questions John Dayal and leaves him Dumbstruck!</t>
  </si>
  <si>
    <t>https://www.youtube.com/watch?v=yMRw4TF7CAk</t>
  </si>
  <si>
    <t>Rajiv Malhotra's Rejoinder to Kancha Ilaiah's Breaking India Activities</t>
  </si>
  <si>
    <t>https://www.youtube.com/watch?v=XCXsh2mfb3M</t>
  </si>
  <si>
    <t>Kumbh Mela 3.7: What should Indian Govt &amp; Leaders do to Save The Kumbh Mela</t>
  </si>
  <si>
    <t>https://www.youtube.com/watch?v=sTYcLqa56Z4</t>
  </si>
  <si>
    <t>Kumbh Mela 3.1: Rajiv responds to Viewers Questions about Akhadas</t>
  </si>
  <si>
    <t>https://www.youtube.com/watch?v=VxI-y4zU4YE</t>
  </si>
  <si>
    <t>Kumbh Mela 3.6: What can the Youth do to Save Kumbh Mela</t>
  </si>
  <si>
    <t>https://www.youtube.com/watch?v=kKbQvD24QPY</t>
  </si>
  <si>
    <t>Kumbh Mela 3.5: HRD Ministry should give a report on state of Indology</t>
  </si>
  <si>
    <t>https://www.youtube.com/watch?v=A6j1KcojG0E</t>
  </si>
  <si>
    <t>Attack on Kumbh Mela 3.4: Rajiv Malhotra explains Ideological fight with Seculars</t>
  </si>
  <si>
    <t>https://www.youtube.com/watch?v=wzPkggokfLg</t>
  </si>
  <si>
    <t>Kumbh Mela 3.3: Is Any Legal Action Possible to Restrict Entry to the Kumbh Mela</t>
  </si>
  <si>
    <t>https://www.youtube.com/watch?v=dJ9wpyiJSSI</t>
  </si>
  <si>
    <t>Kumbh Mela 3.2: Rajiv Malhotra responds — Do We Need Bad Cops</t>
  </si>
  <si>
    <t>https://www.youtube.com/watch?v=0DBc4TKwgDc</t>
  </si>
  <si>
    <t>MSNBC: Rajiv Malhotra discusses "Who is Bobby Jindal, really" Feb 2013</t>
  </si>
  <si>
    <t>https://www.youtube.com/watch?v=AjEKOFHh4yM</t>
  </si>
  <si>
    <t>Rajiv Malhotra on MSNBC: A Different Kind of Black-Brown Coalition</t>
  </si>
  <si>
    <t>https://www.youtube.com/watch?v=FQmwAFcJSpw</t>
  </si>
  <si>
    <t>From William Jones to Pollock, Discourse on India Continues to be Dictated by the West_MIT 9</t>
  </si>
  <si>
    <t>https://www.youtube.com/watch?v=Kg7UNGe9lik</t>
  </si>
  <si>
    <t>Theory of 'Aesthetization of Power' used by Sheldon Pollock_MIT 10</t>
  </si>
  <si>
    <t>https://www.youtube.com/watch?v=_OTzuNIDOOA</t>
  </si>
  <si>
    <t>Currently, GOI funded Religion Studies might not be in Dharma's Interest_MIT 11</t>
  </si>
  <si>
    <t>https://www.youtube.com/watch?v=VJZ4LARPMJU&amp;t=79s</t>
  </si>
  <si>
    <t>How Germans Distorted Hindu Ideas Which Led to Nazism: Rajiv Malhotra #12</t>
  </si>
  <si>
    <t>https://www.youtube.com/watch?v=V-N1KdB7QTg</t>
  </si>
  <si>
    <t>Fb LIVE 5: Kutumba Sastry, President Intl Asso Sanskrit Studies — Interviewed by Rajiv Malhotra</t>
  </si>
  <si>
    <t>https://www.youtube.com/watch?v=4fTC0cZiBus</t>
  </si>
  <si>
    <t>Rajiv Malhotra talks about The Indus Saraswati Civilization</t>
  </si>
  <si>
    <t>https://www.youtube.com/watch?v=G1vj3YNYQYg</t>
  </si>
  <si>
    <t>Rajiv Malhotra MIT 7: The Sold Out Insiders</t>
  </si>
  <si>
    <t>https://www.youtube.com/watch?v=Ly_KKukp01g</t>
  </si>
  <si>
    <t>Rajiv Malhotra: Control of our tradition has shifted into the hands of 'outsiders'.</t>
  </si>
  <si>
    <t>https://www.youtube.com/watch?v=yB7P6V4_zUw</t>
  </si>
  <si>
    <t>Rajiv Malhotra in conversation with Indian industrialists: 'Who represents Hinduism?'</t>
  </si>
  <si>
    <t>https://www.youtube.com/watch?v=xjoBDX3u1Ys</t>
  </si>
  <si>
    <t>Rajiv Malhotra MIT 3: Multiple 'Outsider' views on Hindusim &amp; Birth of American Indology</t>
  </si>
  <si>
    <t>https://www.youtube.com/watch?v=hFK3wIxZt3g</t>
  </si>
  <si>
    <t>How India Should Manage US Think Tanks, Universities, Seminaries</t>
  </si>
  <si>
    <t>https://www.youtube.com/watch?v=gL_j5YKKN38</t>
  </si>
  <si>
    <t>Rajiv Malhotra: Battling the Secularization of Indian Fine Arts</t>
  </si>
  <si>
    <t>https://www.youtube.com/watch?v=J2klGHwzFFo</t>
  </si>
  <si>
    <t>MIT 6: White Liberal American Woman Profile according to Marketing Co’s</t>
  </si>
  <si>
    <t>https://www.youtube.com/watch?v=ebsBucPcYoU</t>
  </si>
  <si>
    <t>Rajiv Malhotra MIT 1: The Need for Insider Perspective on Hinduism</t>
  </si>
  <si>
    <t>https://www.youtube.com/watch?v=orOA4dPxE98</t>
  </si>
  <si>
    <t>No one has attempted a Purvapaksha of Sheldon Pollock_MIT 2</t>
  </si>
  <si>
    <t>https://www.youtube.com/watch?v=go47jpA5M1A</t>
  </si>
  <si>
    <t>How Hindus Have Lost The Ownership of Hinduism Studies #4</t>
  </si>
  <si>
    <t>https://www.youtube.com/watch?v=dlfE6JbvIYI</t>
  </si>
  <si>
    <t>How China Hits Back at Western Critics: MIT #13</t>
  </si>
  <si>
    <t>https://www.youtube.com/watch?v=1VZl4rtt2aU</t>
  </si>
  <si>
    <t>Ivy Leagues Control Indological Studies Research: Rajiv Malhotra</t>
  </si>
  <si>
    <t>https://www.youtube.com/watch?v=cUULt5zHp0k</t>
  </si>
  <si>
    <t>Amazing Discoveries About Ancient India That Are Being Neglected: Rajiv Malhotra</t>
  </si>
  <si>
    <t>https://www.youtube.com/watch?v=BNly0XIZX6c</t>
  </si>
  <si>
    <t>Biases of American Academia who study Hinduism_MIT 5</t>
  </si>
  <si>
    <t>https://www.youtube.com/watch?v=C3knBzrgTTY</t>
  </si>
  <si>
    <t>Rajiv Malhotra MIT 8: Four types of Hindus who cannot help the cause of Hinduism</t>
  </si>
  <si>
    <t>https://www.youtube.com/watch?v=w1UAQGgnz4A</t>
  </si>
  <si>
    <t>Christianity Digested lot of Paganism #4</t>
  </si>
  <si>
    <t>https://www.youtube.com/watch?v=1-5q-Da6EHQ</t>
  </si>
  <si>
    <t>Rajiv Malhotra: # 5 Original Sin of Adam Eve &amp; Why Virgin Birth is such a big deal</t>
  </si>
  <si>
    <t>https://www.youtube.com/watch?v=JcNaFHIozC4</t>
  </si>
  <si>
    <t>#1 Difference is the Truth: Swami Dayanand Saraswati Launches Rajiv's Book 'Being Different'</t>
  </si>
  <si>
    <t>https://www.youtube.com/watch?v=3zpg3MGhmyI</t>
  </si>
  <si>
    <t>Rajiv Malhotra: # 2 Western Universalism Has Colonized Others</t>
  </si>
  <si>
    <t>https://www.youtube.com/watch?v=QrVLpFoGRb4</t>
  </si>
  <si>
    <t>Sanskrit Non-translatables, Being Different</t>
  </si>
  <si>
    <t>https://www.youtube.com/watch?v=yCrftsxElf8</t>
  </si>
  <si>
    <t>Rajiv Malhotra: # 6 Ask any Christian Theologian What happens to The Nicene Creed</t>
  </si>
  <si>
    <t>https://www.youtube.com/watch?v=c0qRokhkADI</t>
  </si>
  <si>
    <t>Rajiv Malhotra: Are Christianity &amp; Hinduism Same AND The Nature of Self in Both #7</t>
  </si>
  <si>
    <t>https://www.youtube.com/watch?v=AcHVZjv6cAs</t>
  </si>
  <si>
    <t>Purva-paksha of the West (Reversing the Gaze) not done by India: Rajiv Malhotra #8</t>
  </si>
  <si>
    <t>https://www.youtube.com/watch?v=P1Eurn7tEJM</t>
  </si>
  <si>
    <t>History-Centrism of Christianity Makes Them Prisoners of History: Rajiv Malhotra #9</t>
  </si>
  <si>
    <t>https://www.youtube.com/watch?v=GDQ-FTObhak</t>
  </si>
  <si>
    <t>Integral Unity Vs Synthetic Unity #10</t>
  </si>
  <si>
    <t>https://www.youtube.com/watch?v=5P0vjP1Hdvs</t>
  </si>
  <si>
    <t>Is Jesus Christian: Q&amp;A with Rajiv Malhotra #13</t>
  </si>
  <si>
    <t>https://www.youtube.com/watch?v=OAcu0ZHtcXc</t>
  </si>
  <si>
    <t>Buddhist's Nature of Reality is also Integral Unity #11</t>
  </si>
  <si>
    <t>https://www.youtube.com/watch?v=F4X3ljkLFP8</t>
  </si>
  <si>
    <t>A Christian can be a True Advaitin Only if History-Centrism is Given up: Rajiv Malhotra #14</t>
  </si>
  <si>
    <t>https://www.youtube.com/watch?v=_VfaX30ncIU</t>
  </si>
  <si>
    <t>Swami Dayanand Saraswati Commends Rajiv Malhotra's Books #15</t>
  </si>
  <si>
    <t>https://www.youtube.com/watch?v=JDOBTQ94-S4</t>
  </si>
  <si>
    <t>Digested Cultures live in Museums #1</t>
  </si>
  <si>
    <t>https://www.youtube.com/watch?v=5tMCiwnQlXM</t>
  </si>
  <si>
    <t>Approach to Define The Dharma Point of View: Rajiv Malhotra #5</t>
  </si>
  <si>
    <t>https://www.youtube.com/watch?v=61VsCIaQhX4</t>
  </si>
  <si>
    <t>#2 Gurus Replacing Sanskrit Words with English Exposes the Tradition to Digestion</t>
  </si>
  <si>
    <t>https://www.youtube.com/watch?v=o4_iAmYXDzg</t>
  </si>
  <si>
    <t>How much of India do the Westerners Assimilate Before Making a U Turn #3</t>
  </si>
  <si>
    <t>https://www.youtube.com/watch?v=bF-3L4O8Nq8</t>
  </si>
  <si>
    <t>Our History is NOT a Myth —Q&amp;A Broadcast with Rajiv Malhotra</t>
  </si>
  <si>
    <t>https://www.youtube.com/watch?v=5c75GXSIdlM</t>
  </si>
  <si>
    <t>#6 There is an Indian Universalism and Being Different is part of it.</t>
  </si>
  <si>
    <t>https://www.youtube.com/watch?v=KXamV4OZjYs</t>
  </si>
  <si>
    <t>India is Often Mis-represented in USA by Our Colonized Mentality: Rajiv Malhotra #4</t>
  </si>
  <si>
    <t>https://www.youtube.com/watch?v=rbrxzObExNc</t>
  </si>
  <si>
    <t>Ideas of Yoga clash with Christianity's Nicene Creed: Rajiv Malhotra</t>
  </si>
  <si>
    <t>https://www.youtube.com/watch?v=G6rcMSQ1UVE</t>
  </si>
  <si>
    <t>Asking some very important questions about Sufism: Rajiv Malhotra #12</t>
  </si>
  <si>
    <t>https://www.youtube.com/watch?v=mK5DuxKw-I8</t>
  </si>
  <si>
    <t>Everything is Ultimately a Distinct Expression of Brahman (Ultimate Reality) #2</t>
  </si>
  <si>
    <t>https://www.youtube.com/watch?v=zV5AbsAy5m4</t>
  </si>
  <si>
    <t>Rajiv Malhotra: Why Look for Legitimacy from The West #3</t>
  </si>
  <si>
    <t>https://www.youtube.com/watch?v=dzUx3zUv_yw</t>
  </si>
  <si>
    <t>Rajiv Malhotra: India should invest a huge amount in preserving it's civilization #5</t>
  </si>
  <si>
    <t>https://www.youtube.com/watch?v=5iT09vIaZOU</t>
  </si>
  <si>
    <t>Hindu Gurus are Muddled Up in Understanding Christianity: Rajiv Malhotra #1</t>
  </si>
  <si>
    <t>https://www.youtube.com/watch?v=inpmzGJn2LU</t>
  </si>
  <si>
    <t>Hindu Gurus Lost an Opportunity to Convert Western Yoga Students into Hindus #2</t>
  </si>
  <si>
    <t>https://www.youtube.com/watch?v=wXoImJcJYxQ</t>
  </si>
  <si>
    <t>Rajiv Malhotra: How Yoga's Advanced Effects Depend on One's Worldview &amp; Lifestyle #3</t>
  </si>
  <si>
    <t>https://www.youtube.com/watch?v=aASsLwbe6kY</t>
  </si>
  <si>
    <t>Is chanting Om a part of Yoga: Rajiv Malhotra</t>
  </si>
  <si>
    <t>https://www.youtube.com/watch?v=bFIqLn3c85c</t>
  </si>
  <si>
    <t>Lets Create a "Global Yoga Franchise" with Lakhs of Teachers: Rajiv Malhotra #5</t>
  </si>
  <si>
    <t>https://www.youtube.com/watch?v=PWZrF-TGsWo</t>
  </si>
  <si>
    <t>What Should be India's Strategy for Leveraging Yoga: Rajiv Malhotra #6</t>
  </si>
  <si>
    <t>https://www.youtube.com/watch?v=S2ePhtW_O5A</t>
  </si>
  <si>
    <t>Rajiv Malhotra responds: What was the origin of Yoga #7</t>
  </si>
  <si>
    <t>https://www.youtube.com/watch?v=6aJLKt2nXsg</t>
  </si>
  <si>
    <t>Rajiv Malhotra: Yoga is Much More Than Asanas Physical Aspect #8</t>
  </si>
  <si>
    <t>https://www.youtube.com/watch?v=tRgTeYpgv8c</t>
  </si>
  <si>
    <t>Rajiv Malhotra: Yoga Practitioners Must Also Understand its Philosophy Properly #9</t>
  </si>
  <si>
    <t>https://www.youtube.com/watch?v=txsij6WXt8s</t>
  </si>
  <si>
    <t>Mutual Respect Between Hinduism &amp; Christianity is a One Way Street: Rajiv Malhotra</t>
  </si>
  <si>
    <t>https://www.youtube.com/watch?v=AefxKKTqv5I</t>
  </si>
  <si>
    <t>International Yoga Day, Philadelphia</t>
  </si>
  <si>
    <t>https://www.youtube.com/watch?v=7gTT37SeSUc</t>
  </si>
  <si>
    <t>Rajiv Malhotra: Inner Awakening program integrates advaita inside with action outside</t>
  </si>
  <si>
    <t>https://www.youtube.com/watch?v=o-395A-OrOQ</t>
  </si>
  <si>
    <t>Dharma gets Digested into "Products" of Western Universalism: Rajiv Malhotra #2</t>
  </si>
  <si>
    <t>https://www.youtube.com/watch?v=qYA9DVNkOCA</t>
  </si>
  <si>
    <t>Rajiv Malhotra: #1 Adhyatma-Vidya as inner science</t>
  </si>
  <si>
    <t>https://www.youtube.com/watch?v=-JT1qlD0wPQ</t>
  </si>
  <si>
    <t>Non-digestible Tension Points Between Dharmic &amp; Western Universal traditions</t>
  </si>
  <si>
    <t>https://www.youtube.com/watch?v=kSNHRGhGt_Y</t>
  </si>
  <si>
    <t>Rajiv Malhotra: UTurn Stages of Appropriation #6</t>
  </si>
  <si>
    <t>https://www.youtube.com/watch?v=adov37an6hU</t>
  </si>
  <si>
    <t>Rajiv Malhotra: #5 Westernized Indians Discomfort about Own Heritage</t>
  </si>
  <si>
    <t>https://www.youtube.com/watch?v=glBt8I5y1b8</t>
  </si>
  <si>
    <t>Rajiv Malhotra: #4 Destructive Effect of Digestion</t>
  </si>
  <si>
    <t>https://www.youtube.com/watch?v=a_HGSrmF_8w</t>
  </si>
  <si>
    <t>Leftist Control of Mainstream Media is Biased: Rajiv Malhotra, BLR Lit Fest</t>
  </si>
  <si>
    <t>https://www.youtube.com/watch?v=Kfqplhug-eA</t>
  </si>
  <si>
    <t>Rajiv Malhotra Intl Day of Yoga, Philadelphia: #1 Defining Yoga &amp; Relation to Dharma</t>
  </si>
  <si>
    <t>https://www.youtube.com/watch?v=AgRVHML48XM</t>
  </si>
  <si>
    <t>Rajiv Malhotra at Intl Day of Yoga, Philadelphia: #2 Should OM be removed from Yoga</t>
  </si>
  <si>
    <t>https://www.youtube.com/watch?v=2Hmcjz_IH8I</t>
  </si>
  <si>
    <t>Rajiv Malhotra at Intl Day of Yoga, Philadelphia: #3 Scope of Yoga</t>
  </si>
  <si>
    <t>https://www.youtube.com/watch?v=xuKnWRKpLyM</t>
  </si>
  <si>
    <t>Rajiv Malhotra at Intl Day of Yoga, Philadelphia: #4 Is Yoga a religion or science</t>
  </si>
  <si>
    <t>https://www.youtube.com/watch?v=2U1DVGO8vo4</t>
  </si>
  <si>
    <t>Rajiv Malhotra at Intl Day of Yoga, Philadelphia: #6 Yoga Asana for Schools</t>
  </si>
  <si>
    <t>https://www.youtube.com/watch?v=79r5KYH0nBI</t>
  </si>
  <si>
    <t>https://www.youtube.com/watch?v=xhcu0nbcfy0</t>
  </si>
  <si>
    <t>Aditi Banerjee Recollects How We Started Responding </t>
  </si>
  <si>
    <t>Rajiv Malhotra: क्या हिन्दू धर्म और ईसाई रिलिजन समान हैं</t>
  </si>
  <si>
    <t>6 days ago</t>
  </si>
  <si>
    <t>https://www.youtube.com/watch?v=lJLoAHZxMWE</t>
  </si>
  <si>
    <t>Rajiv Malhotra fb LIVE 10: Keynote address at first ever 'Swadeshi Indology' Conference</t>
  </si>
  <si>
    <t>https://www.youtube.com/watch?v=dSKwv3KOvN8</t>
  </si>
  <si>
    <t>Rajiv Malhotra at Intl Day of Yoga, Philadelphia: #7 Yoga philosophy is based on nature of Self</t>
  </si>
  <si>
    <t>Clip is short, need to combine with other msgs from this video</t>
  </si>
  <si>
    <t>Aditi Banerjee describes her experience of hinduphobia</t>
  </si>
  <si>
    <t>https://www.youtube.com/watch?v=t5tjD9qq-98</t>
  </si>
  <si>
    <t>Chicago public school teacher laughs at garlanding of pilot</t>
  </si>
  <si>
    <t>Rajiv Malhotra at Intl Day of Yoga, Philadelphia: #8 Yoga solves many kinds of issues</t>
  </si>
  <si>
    <t>https://www.youtube.com/watch?v=LEotomBnsQk</t>
  </si>
  <si>
    <t>Rajiv Malhotra: भारतीय स्वयं ज़िम्मेदारी लें, दूसरों पर न निर्भर हों</t>
  </si>
  <si>
    <t>RISA Lila article, Sulekha &amp; Rajiv Malhotra Controversy</t>
  </si>
  <si>
    <t>Risa Lila article and hinduphobia</t>
  </si>
  <si>
    <t>https://www.youtube.com/watch?v=tpUBWJjtzrA</t>
  </si>
  <si>
    <t>Rajiv Malhotra: BARC 2_True and verifiable history of Indian science &amp; technology</t>
  </si>
  <si>
    <t>Good content on what awakened people</t>
  </si>
  <si>
    <t>Understanding of Rajiv Malhotra's work by ABCD</t>
  </si>
  <si>
    <t>How Indian groups in Us did not support RM</t>
  </si>
  <si>
    <t>How RM had to fight alone to awaken people (esp Hindus) to the hinduphobia that happens around us</t>
  </si>
  <si>
    <t>Naughty work of Wendy Doniger and her student Martha Nussbaum</t>
  </si>
  <si>
    <t>https://www.youtube.com/watch?v=Cuelsn9VyZQ</t>
  </si>
  <si>
    <t>Wrongly represent holi, Mahabharatha, Bhagavad Gita etc</t>
  </si>
  <si>
    <t>Quackery &amp; Chauvinism Can Spoil the Reputation of Scientific Work. #1</t>
  </si>
  <si>
    <t>Description and summaries of wendy Doninger's books and works that demosntrated hindupobia</t>
  </si>
  <si>
    <t>Books by Ramakrishna missions considered inappropriate for children</t>
  </si>
  <si>
    <t>Wendy Doninger's talk - "Bhagavad Gita is a dishonest book"</t>
  </si>
  <si>
    <t>https://www.youtube.com/watch?v=IQCY6tVgZ9s</t>
  </si>
  <si>
    <t>Rajiv Malhotra: BARC 3_Yoga claims there is an inner science Adhyatma Vidya that is verifiable</t>
  </si>
  <si>
    <t>Should this be combined with previous?</t>
  </si>
  <si>
    <t>Jeffrey Kripal's book misrepresentaitons of Ramakrishna Mission</t>
  </si>
  <si>
    <t>Such leading academicians can have a strong influence even on Hindus who have grown up learning from the Indian culture and can shake their beliefs</t>
  </si>
  <si>
    <t>Good length and very strong example of hinduphobia in western academia</t>
  </si>
  <si>
    <t>Hinduphobia from Paul Courtright's book about Ganesh</t>
  </si>
  <si>
    <t>https://www.youtube.com/watch?v=xVrbpqr1LEE</t>
  </si>
  <si>
    <t>Rajiv Malhotra at Intl Day of Yoga, Philadelphia: #5 योग का स्वामित्व किसके पास है</t>
  </si>
  <si>
    <t>David Gordon delinking popular movements from hinduism, opression by brahmanas</t>
  </si>
  <si>
    <t>Kiss of the yogini, about tantra - delinking popular movements from hinduism, supression by bramanas</t>
  </si>
  <si>
    <t>https://www.youtube.com/watch?v=kZVT_WU4Pm4</t>
  </si>
  <si>
    <t>Inaugural Address by Prof. V.N. Jha (First Swadeshi Indology Conference)</t>
  </si>
  <si>
    <t>Good length and good example of delinking popular movements from hinduism</t>
  </si>
  <si>
    <t>Sara Caldwell award winning paper - improper psychoanalysis of hinduism</t>
  </si>
  <si>
    <t>Improper psychoanalysis of hinduism an expression of author's own trauma</t>
  </si>
  <si>
    <t>Good length and very strong example of hinduphobia and psychanalysis of hinduism</t>
  </si>
  <si>
    <t>Western academicians infiltrate and coopt indians</t>
  </si>
  <si>
    <t>https://www.youtube.com/watch?v=5HrBZvxcPmY</t>
  </si>
  <si>
    <t>Swadeshi Indology Conference - Closing Comments by Rajiv Malhotra</t>
  </si>
  <si>
    <t>Our vedic scholars dont qualify in the western academia</t>
  </si>
  <si>
    <t>https://www.youtube.com/watch?v=KdiEMEbTV1M</t>
  </si>
  <si>
    <t>Swadeshi Indology Conference: Prof Makarand Paranjape (JNU) on Ambedkarism and Islam</t>
  </si>
  <si>
    <t>Jack Hawley and his book on Neo Hinduism</t>
  </si>
  <si>
    <t>Response to this "Neo Hinduism" in RMs book Indra's Net</t>
  </si>
  <si>
    <t>https://www.youtube.com/watch?v=9Zummy0j6Ws</t>
  </si>
  <si>
    <t>Welcome Speech by Prof Kannan - First Swadeshi Indology Conference</t>
  </si>
  <si>
    <t>https://www.youtube.com/watch?v=9VsQzAI5PLo</t>
  </si>
  <si>
    <t>First Swadeshi Indology Conference: Inauguration and Felicitation</t>
  </si>
  <si>
    <t>https://www.youtube.com/watch?v=ZwiLQGKP--A</t>
  </si>
  <si>
    <t>Swadeshi Indology Conference - Vote of Thanks by Prof Jalihal</t>
  </si>
  <si>
    <t>No dualism, Creator and the created are One</t>
  </si>
  <si>
    <t>if you take delta from the an infinitesimal x, the x still remains</t>
  </si>
  <si>
    <t>https://www.youtube.com/watch?v=fmVDyQnLFe4</t>
  </si>
  <si>
    <t>Rajiv: BARC 4_Adhyatma vidya is empirical inner science, different from external hard sciences</t>
  </si>
  <si>
    <t>https://www.youtube.com/watch?v=ohUG8LIy7Cs</t>
  </si>
  <si>
    <t>Good content although audio quality needs to be addressed</t>
  </si>
  <si>
    <t>Rajiv Malhotra: BARC 5_Indian tradition ensures no conflict between science &amp; religion</t>
  </si>
  <si>
    <t>God, cosmos and creation - everything is sacred</t>
  </si>
  <si>
    <t>Manifestation of God in various forms of his creation</t>
  </si>
  <si>
    <t>https://www.youtube.com/watch?v=WfJvOgXp9SM</t>
  </si>
  <si>
    <t>Rajiv Malhotra: BARC 6_ Colonizers left but the Indian mind is still colonized</t>
  </si>
  <si>
    <t>https://www.youtube.com/watch?v=_vKbwIOfXy0</t>
  </si>
  <si>
    <t>Rajiv Malhotra: BARC 7_Indian ideas have been plagiarized &amp; appropriated by the West</t>
  </si>
  <si>
    <t>https://www.youtube.com/watch?v=NNu6sJz2cPI</t>
  </si>
  <si>
    <t>Rajiv Malhotra: BARC 8_ Swami Vivekananda influenced Nikola Tesla</t>
  </si>
  <si>
    <t>https://www.youtube.com/watch?v=Deab_JE4fv4</t>
  </si>
  <si>
    <t>Rajiv: BARC 9_ How Herb Benson and Stephen Laberge have appropriated ideas from Indian mind sciences</t>
  </si>
  <si>
    <t>https://www.youtube.com/watch?v=GiNhw1WJNXc</t>
  </si>
  <si>
    <t>Rajiv Malhotra: BARC 10_Indian Philosophy is the only one compatible with Quantum Physics</t>
  </si>
  <si>
    <t>https://www.youtube.com/watch?v=NRep5rGd_FU</t>
  </si>
  <si>
    <t>Rajiv Malhotra: BARC 12_Why difference and diversity should be preserved</t>
  </si>
  <si>
    <t>https://www.youtube.com/watch?v=gF2CbaL7t6g</t>
  </si>
  <si>
    <t>Rajiv Malhotra: Harvard Video Proves Their Infiltration of Kumbh Mela (with Hindi Subtitles)</t>
  </si>
  <si>
    <t>https://www.youtube.com/watch?v=GB9g4sKWR0M</t>
  </si>
  <si>
    <t>Role of Organizations Like The Hindu American Foundation (HAF): Rajiv Malhotra #1</t>
  </si>
  <si>
    <t>https://www.youtube.com/watch?v=AB0KeX_0T2I</t>
  </si>
  <si>
    <t>Rajiv Malhotra's Hard-hitting Response to False Charges of Plagiarism #2</t>
  </si>
  <si>
    <t>https://www.youtube.com/watch?v=VDqAX3plBww</t>
  </si>
  <si>
    <t>Rajiv Malhotra on Obama administration's effect on curtailing violence against Black people #3</t>
  </si>
  <si>
    <t>https://www.youtube.com/watch?v=Hqx5Pfe-4NI</t>
  </si>
  <si>
    <t>Indian Social Sciences Scholars are the New Elites: Rajiv Malhotra #4</t>
  </si>
  <si>
    <t>https://www.youtube.com/watch?v=rAWCL2ENS90</t>
  </si>
  <si>
    <t>Rajiv Malhotra: Importance of Knowledge Percolating to the Lower Strata #5</t>
  </si>
  <si>
    <t>https://www.youtube.com/watch?v=47hxgUfQ8jo</t>
  </si>
  <si>
    <t>Ambedkar and The Origins of 'Left Wing' 'Right Wing' #6</t>
  </si>
  <si>
    <t>https://www.youtube.com/watch?v=EMznloyYysU</t>
  </si>
  <si>
    <t>Harvard Video Proves Their Infiltration of Kumbh Mela: Rajiv Malhotra</t>
  </si>
  <si>
    <t>https://www.youtube.com/watch?v=Xsq9jAEpAY8</t>
  </si>
  <si>
    <t>Supreme Court Lawyer Monika Arora Explains Lawsuit Against Wendy Doniger’s Book</t>
  </si>
  <si>
    <t>https://www.youtube.com/watch?v=-HWLO-7d98U</t>
  </si>
  <si>
    <t>Rajiv Malhotra on NewsX Channel: Hinduphobia, Breaking India forces &amp; Kashmir problem</t>
  </si>
  <si>
    <t>https://www.youtube.com/watch?v=xAx9rKxKjCk</t>
  </si>
  <si>
    <t>Content same as 45.1 above, hence no change needed</t>
  </si>
  <si>
    <t>Rajiv Malhotra on Literarisation #7</t>
  </si>
  <si>
    <t>https://www.youtube.com/watch?v=pIn71L7Kv9Q</t>
  </si>
  <si>
    <t>Rajiv Malhotra: The Invisible Fence Syndrome #9</t>
  </si>
  <si>
    <t>https://www.youtube.com/watch?v=9oRLNbl-DxI</t>
  </si>
  <si>
    <t>Why the Hindu Community has Failed to Confront Hinduphobia #1</t>
  </si>
  <si>
    <t>https://www.youtube.com/watch?v=ZhuUYD3QvB8</t>
  </si>
  <si>
    <t>Rajiv Malhotra: The Need For Hindu Viewpoint in Mainstream Media #2</t>
  </si>
  <si>
    <t>https://www.youtube.com/watch?v=G2ke7Higm-Y</t>
  </si>
  <si>
    <t>Rajiv Malhotra's Encounter with a Hinduphobic Professor from Univ of Chicago #3</t>
  </si>
  <si>
    <t>https://www.youtube.com/watch?v=FTdLV7hcCvI</t>
  </si>
  <si>
    <t>Removing Caste Discrimination in India: Rajiv Malhotra #4</t>
  </si>
  <si>
    <t>https://www.youtube.com/watch?v=FQ3dpY5j5y8</t>
  </si>
  <si>
    <t>Rajiv Malhotra: Why the Western Labels of 'Left' &amp; 'Right' Do Not Apply to Hinduism #5</t>
  </si>
  <si>
    <t>https://www.youtube.com/watch?v=iGqKIfGTc-s</t>
  </si>
  <si>
    <t>Rajiv Malhotra's Responds to Disruption by Hinduphobic Mob &amp; Condemns All Forms of Xenophobia #6</t>
  </si>
  <si>
    <t>https://www.youtube.com/watch?v=ejkbEib1Otk</t>
  </si>
  <si>
    <t>Americanization of The Indian Elite: Rajiv Malhotra #8</t>
  </si>
  <si>
    <t>https://www.youtube.com/watch?v=4PxIlOKBbng</t>
  </si>
  <si>
    <t>Rajiv Malhotra: Impact of Aryan-Dravidian Theory in South India #1</t>
  </si>
  <si>
    <t>https://www.youtube.com/watch?v=9fu_xDvkBMk</t>
  </si>
  <si>
    <t>Rajiv Malhotra: The Promise &amp; the Concerns Around Computational Linguistics #2</t>
  </si>
  <si>
    <t>https://www.youtube.com/watch?v=s_eR4_6kip8</t>
  </si>
  <si>
    <t>An Analyst of the 'Industry of Indology", Rajiv Malhotra #3</t>
  </si>
  <si>
    <t>https://www.youtube.com/watch?v=C-AklzjB96w</t>
  </si>
  <si>
    <t>Rajiv Malhotra: Who Defines Sacred and How to Experience It #4</t>
  </si>
  <si>
    <t>https://www.youtube.com/watch?v=CLCX0mlWjw0</t>
  </si>
  <si>
    <t>How the Britishers Created Caste-based Fault Lines in India #5</t>
  </si>
  <si>
    <t>https://www.youtube.com/watch?v=5XqO9FCH3Xk</t>
  </si>
  <si>
    <t>Rajiv Malhotra: The Book 'Battle for Sanskrit' &amp; what happened to the Sringeri Mutt Project #6</t>
  </si>
  <si>
    <t>https://www.youtube.com/watch?v=4xWwhXcAjhU</t>
  </si>
  <si>
    <t>Analysis of Pollock's "Death of Sanskrit" thesis - 2 paper presentations</t>
  </si>
  <si>
    <t>https://www.youtube.com/watch?v=KStzrk3h76o</t>
  </si>
  <si>
    <t>Rajiv Malhotra's comments and Q&amp;A on "Death of Sanskrit" Thesis</t>
  </si>
  <si>
    <t>https://www.youtube.com/watch?v=udY03G3fVJQ</t>
  </si>
  <si>
    <t>Rajiv Malhotra: I will do the Purvapaksha &amp; Traditional Scholars Should do Uttarpaksa #7</t>
  </si>
  <si>
    <t>https://www.youtube.com/watch?v=1UT4aCq24wA</t>
  </si>
  <si>
    <t>Rajiv Malhotra: Lack of Rigor in Indian Academia &amp; the Removal of Sacred from Sanskrit #9</t>
  </si>
  <si>
    <t>https://www.youtube.com/watch?v=JkMKDP2BOlw&amp;t=169s</t>
  </si>
  <si>
    <t>Pollock’s Position on Sastras - Surya K</t>
  </si>
  <si>
    <t>https://www.youtube.com/watch?v=a6bj2Qddmzk</t>
  </si>
  <si>
    <t>Critique of Pollock's Position on The Science of Sastras - 2 Paper Presentations</t>
  </si>
  <si>
    <t>https://www.youtube.com/watch?v=qEJJIhs02cI</t>
  </si>
  <si>
    <t>Prof. Ramanujan's comments and Q&amp;A on the two papers on science of Sastra</t>
  </si>
  <si>
    <t>https://www.youtube.com/watch?v=v2dy-2T9kRE</t>
  </si>
  <si>
    <t>Misrepresentations in Pollock’s Sastra paper - 2 Paper Presentations</t>
  </si>
  <si>
    <t>https://www.youtube.com/watch?v=REfOblHmn6Q</t>
  </si>
  <si>
    <t>Comments on two papers on misrepresentations in Pollock’s Sastra paper: Prof. VN Jha</t>
  </si>
  <si>
    <t>https://www.youtube.com/watch?v=8Fyp5gw_HGc&amp;t=19s</t>
  </si>
  <si>
    <t>Rajiv Malhotra and others in discussion on Pollock's position on Sastras</t>
  </si>
  <si>
    <t>https://www.youtube.com/watch?v=xl6nyKVDNCQ</t>
  </si>
  <si>
    <t>Rajiv Malhotra fb LIVE 11: Strategy of Infinity Foundation India &amp; How it will Transform India</t>
  </si>
  <si>
    <t>https://www.youtube.com/watch?v=ll-fhgVbj1I</t>
  </si>
  <si>
    <t>Rajiv Malhotra: Importance of Sacredness in Indian Civilization #8</t>
  </si>
  <si>
    <t>https://www.youtube.com/watch?v=1uNyxmccf1U</t>
  </si>
  <si>
    <t>Rajiv Malhotra's Unique Position to Critique Western Indology #1</t>
  </si>
  <si>
    <t>https://www.youtube.com/watch?v=NMCXHN1fW9k</t>
  </si>
  <si>
    <t>Rajiv Malhotra: What is Our Response to Murty Classical Library 500 Volume Project #3</t>
  </si>
  <si>
    <t>https://www.youtube.com/watch?v=NeCQOUox8zc</t>
  </si>
  <si>
    <t>Making Sanskrit Mainstream: Rajiv Malhotra's Vision #4</t>
  </si>
  <si>
    <t>https://www.youtube.com/watch?v=3vhgcNKVRgY</t>
  </si>
  <si>
    <t>Rajiv Malhotra: How Devdutt Pattanaik is Facilitating Digestion by Turning Our Itihas into Myth #5</t>
  </si>
  <si>
    <t>https://www.youtube.com/watch?v=gPdm-EF13GU</t>
  </si>
  <si>
    <t>Prof Girish Nath Jha &amp; Rajiv Malhotra on the Decline of Sanskrit During Colonial Times #6</t>
  </si>
  <si>
    <t>https://www.youtube.com/watch?v=wYCmU0vaKvc</t>
  </si>
  <si>
    <t>Loss of Purvapaksha Tradition Led to The Decline of Indian Civilization #7</t>
  </si>
  <si>
    <t>https://www.youtube.com/watch?v=wu_ONpNjikY</t>
  </si>
  <si>
    <t>If Dravidianism can be debunked, AIT will become irrelevant by Rajiv Malhotra #8</t>
  </si>
  <si>
    <t>https://www.youtube.com/watch?v=6ufhk6JL8x8</t>
  </si>
  <si>
    <t>BFS Book Cover, "Sir William Jones &amp; The Pandits" #2</t>
  </si>
  <si>
    <t>https://www.youtube.com/watch?v=S9RImbEoWYA</t>
  </si>
  <si>
    <t>Rajiv Malhotra Argues for Continually Updating the Purvapaksha Tradition #9</t>
  </si>
  <si>
    <t>https://www.youtube.com/watch?v=D7yIybTWmmU</t>
  </si>
  <si>
    <t>Prof Upender Rao: Evidence of Sanskrit Being Part of Popular Culture #11</t>
  </si>
  <si>
    <t>https://www.youtube.com/watch?v=EfHkupTL5wU</t>
  </si>
  <si>
    <t>Prof Girish Jha Describes Research Applying Traditional Sanskrit Knowledge in Modern Science #12</t>
  </si>
  <si>
    <t>https://www.youtube.com/watch?v=4pkD8CkJiIQ</t>
  </si>
  <si>
    <t>Negative Impact of Indian Billionaires Funding Western Universities #13</t>
  </si>
  <si>
    <t>https://www.youtube.com/watch?v=uTyoGVNa7FA</t>
  </si>
  <si>
    <t>'Sanskritizing English' By Introducing Non-translatable words #14</t>
  </si>
  <si>
    <t>https://www.youtube.com/watch?v=xkyySDtO5HU</t>
  </si>
  <si>
    <t>Prof Koenraad Elst &amp; Prof Girish Jha on the alleged North &amp; South Language Divide in India #15</t>
  </si>
  <si>
    <t>https://www.youtube.com/watch?v=VkyOIj4SQu4</t>
  </si>
  <si>
    <t>Rajiv Malhotra on the origin of Sanskrit and Vedas #10</t>
  </si>
  <si>
    <t>https://www.youtube.com/watch?v=GCo89ggyUKw</t>
  </si>
  <si>
    <t>Critiquing Pollock’s out of context reading of the Ramayana - 2 Paper Presentations</t>
  </si>
  <si>
    <t>https://www.youtube.com/watch?v=vOOkxcKaZEo</t>
  </si>
  <si>
    <t>Pollock’s out of context reading of the Ramayana - Comments and Q&amp;A on the papers</t>
  </si>
  <si>
    <t>https://www.youtube.com/watch?v=aRzq_l_Rmcc</t>
  </si>
  <si>
    <t>Comments on the two papers - Nityananda Misra</t>
  </si>
  <si>
    <t>https://www.youtube.com/watch?v=iZ6Xk9YCaaY</t>
  </si>
  <si>
    <t>A Purvapaksha of Deep Orientalism - Ashay Naik</t>
  </si>
  <si>
    <t>https://www.youtube.com/watch?v=ozdJ_kTaZcc</t>
  </si>
  <si>
    <t>History of Indology and Nazi ideology - Prof. K. Gopinath</t>
  </si>
  <si>
    <t>https://www.youtube.com/watch?v=Q7TqlnXF3cA</t>
  </si>
  <si>
    <t>Sheldon Pollock's Idea of a Nazi Indology - Dr. Koenraad Elst</t>
  </si>
  <si>
    <t>https://www.youtube.com/watch?v=_nyKGkDh6WM</t>
  </si>
  <si>
    <t>Theme- Sanskrit was Responsible for Holocaust- Comments and Q&amp;A</t>
  </si>
  <si>
    <t>https://www.youtube.com/watch?v=log0y9fRklc</t>
  </si>
  <si>
    <t>How to Interpret the US Presidential Elections 2016 in terms of the Myth of American Exceptionalism</t>
  </si>
  <si>
    <t>https://www.youtube.com/watch?v=74BW9K7eGtY&amp;t=21s</t>
  </si>
  <si>
    <t>The New MOHENJO DARO Movie, What is True &amp; False About Its Depictions of History</t>
  </si>
  <si>
    <t>https://www.youtube.com/watch?v=gzOZ5Lo3n9Y</t>
  </si>
  <si>
    <t>JNU Sociology Professors are Effectively Studying "The White Man's Grandmother" #10</t>
  </si>
  <si>
    <t>https://www.youtube.com/watch?v=2yRygpW0RYY</t>
  </si>
  <si>
    <t>On Pollockism- Purvapaksha on Pollock's Methodologies: Sati Shankar</t>
  </si>
  <si>
    <t>https://www.youtube.com/watch?v=Y3j3g76ggFE</t>
  </si>
  <si>
    <t>On Pollockism paper_Comments and Q and A</t>
  </si>
  <si>
    <t>https://www.youtube.com/watch?v=bMOOUhzJreA</t>
  </si>
  <si>
    <t>"Sanskrit is dead and its okay" - Naresh Cuntoor</t>
  </si>
  <si>
    <t>https://www.youtube.com/watch?v=WzACbsbv3Mc</t>
  </si>
  <si>
    <t>Vedic Knowledge, Science &amp; Pollockian Indology - Prof. Ravi Gomatam</t>
  </si>
  <si>
    <t>https://www.youtube.com/watch?v=0W0XxcsCH_0</t>
  </si>
  <si>
    <t>Dr. Koenraad Elst's Comments on Indic Viewpoints to Refute Pollock's positions</t>
  </si>
  <si>
    <t>https://www.youtube.com/watch?v=a30EnICYBUA</t>
  </si>
  <si>
    <t>Panel Discussion on Murty Classical Library - Part 1</t>
  </si>
  <si>
    <t>https://www.youtube.com/watch?v=Wr_CIMPuH3I</t>
  </si>
  <si>
    <t>Panel Discussion on Murty Classical Library - Part 2</t>
  </si>
  <si>
    <t>https://www.youtube.com/watch?v=w1panKQ58dU</t>
  </si>
  <si>
    <t>New TV Serial on Aryan/Dravidian Conflict is Incorrect &amp; Politically Dangerous</t>
  </si>
  <si>
    <t>https://www.youtube.com/watch?v=N20dY0-9Nio</t>
  </si>
  <si>
    <t>Sense Philology - TM Narendran</t>
  </si>
  <si>
    <t>https://www.youtube.com/watch?v=mxQpJeckKaU</t>
  </si>
  <si>
    <t>Orientalist &amp; Post Colonial Basis of Indology - Ravi Joshi</t>
  </si>
  <si>
    <t>https://www.youtube.com/watch?v=3dgPn1KOovw</t>
  </si>
  <si>
    <t>Recent Political Attacks in Hawaii Against Hinduism —Christianity's Violent Conquest of Pagans #15</t>
  </si>
  <si>
    <t>https://www.youtube.com/watch?v=Aivw6qVhabo</t>
  </si>
  <si>
    <t>Contrast the Attitude of Abrahamic Religions &amp; Sanatan Dharma Towards Peace #3</t>
  </si>
  <si>
    <t>https://www.youtube.com/watch?v=av1BWeMbl1Q</t>
  </si>
  <si>
    <t>Rajiv Malhotra Discusses Strategy for Kumbh Mela with Head of Akhada Parishad</t>
  </si>
  <si>
    <t>https://www.youtube.com/watch?v=dLQSHM_T-jI</t>
  </si>
  <si>
    <t>Hindu Dharma Shastras Accused of Human Rights Violation Against Women &amp; Dalits #4</t>
  </si>
  <si>
    <t>https://www.youtube.com/watch?v=joPLKP546hk</t>
  </si>
  <si>
    <t>Are The Vedic Texts Not Powerful Enough To Convince Anybody Who Reads it: Rajiv Malhotra #6</t>
  </si>
  <si>
    <t>https://www.youtube.com/watch?v=0ol6BUtHZu8</t>
  </si>
  <si>
    <t>Do Our sacred Scriptures Praise War &amp; Violence: Rajiv Malhotra #8</t>
  </si>
  <si>
    <t>https://www.youtube.com/watch?v=N1wkN3CKqHY</t>
  </si>
  <si>
    <t>Rajiv Malhotra Interviews Yogi Amrit Desai - Part 1</t>
  </si>
  <si>
    <t>https://www.youtube.com/watch?v=Zr29r9gnq6A</t>
  </si>
  <si>
    <t>Rajiv Malhotra &amp; Dr Subramanian Swamy in a Vibrant LIVE Broadcast on Strategic Issues #16</t>
  </si>
  <si>
    <t>https://www.youtube.com/watch?v=eVhJjqlSE8s</t>
  </si>
  <si>
    <t>How to Counter Devdutt Pattanaik's Absurd Interpretations of Hinduism: Rajiv Malhotra #5</t>
  </si>
  <si>
    <t>https://www.youtube.com/watch?v=R6bvpvI1_uY</t>
  </si>
  <si>
    <t>Yogi Amrit Desai's Hatha Yoga is Integrated Into Ashtanga Yoga: Rajiv Part 2</t>
  </si>
  <si>
    <t>https://www.youtube.com/watch?v=WtWOT6Hj2vM</t>
  </si>
  <si>
    <t>Controversies on Yoga's Appropriation &amp; Mis-appropriation by Westerners: Yogi Amrit Desai Part 3</t>
  </si>
  <si>
    <t>https://www.youtube.com/watch?v=3dYP3FhD3Po</t>
  </si>
  <si>
    <t>How Yoga Helps Americans Solve Problems Like Addiction: Rajiv Interviews Yogi Amrit Desai Part 4</t>
  </si>
  <si>
    <t>https://www.youtube.com/watch?v=FgVpxhtCQdA</t>
  </si>
  <si>
    <t>Rajiv Malhotra with Yogi Amrit Desai: FULL Interview</t>
  </si>
  <si>
    <t>https://www.youtube.com/watch?v=07rLdtPRbEE</t>
  </si>
  <si>
    <t>In Conversation with Swami Nithyananda: July 2016</t>
  </si>
  <si>
    <t>https://www.youtube.com/watch?v=n0Ekb7yhf18</t>
  </si>
  <si>
    <t>Can Living Guru be Replaced by Technology? Rajiv's Dialogue with Yogi Amrit Desai - Part 5</t>
  </si>
  <si>
    <t>https://www.youtube.com/watch?v=Pe53dUS_mHE</t>
  </si>
  <si>
    <t>Society Must Be Detoxed By Force &amp; Intervention. Rajiv's Dialogue with Yogi Amrit Desai - Part 6</t>
  </si>
  <si>
    <t>https://www.youtube.com/watch?v=fZLoHeGF4XI</t>
  </si>
  <si>
    <t>Q&amp;A Rajiv Malhotra at Chinmaya Mission, DC</t>
  </si>
  <si>
    <t>https://www.youtube.com/watch?v=NaCx35vC5wg</t>
  </si>
  <si>
    <t>JNU Plenary 2016: Assimilation of Tradition &amp; Modernity, Talk by Rajiv Malhotra</t>
  </si>
  <si>
    <t>https://www.youtube.com/watch?v=8M2LUwJGwHw</t>
  </si>
  <si>
    <t>Rajiv Malhotra Addresses Common Misconceptions Regarding Various Darshanas in Sanatan Dharma #1</t>
  </si>
  <si>
    <t>https://www.youtube.com/watch?v=4VaCcFKHkSY</t>
  </si>
  <si>
    <t>Q&amp;A Hinduism vs Pagan Religions; Caste Divides; Open Architecture of Dharmic Traditions #2</t>
  </si>
  <si>
    <t>https://www.youtube.com/watch?v=udkwSpjJnGk</t>
  </si>
  <si>
    <t>Rajiv Malhotra's Call To Action For Correcting The Discourse On Hinduism &amp; Hindu Organizations. #3</t>
  </si>
  <si>
    <t>https://www.youtube.com/watch?v=Z8Wd8i754cU</t>
  </si>
  <si>
    <t>Misappropriation of Ancient Indian Ideas by The West; Value of Sanskrit; Aryan Dravidian Divide #4</t>
  </si>
  <si>
    <t>https://www.youtube.com/watch?v=tlCqUXsDwDc</t>
  </si>
  <si>
    <t>Western Collective Ego Remains Even After Individual Ego Is Surrendered: Rajiv with Amrit Desai #7</t>
  </si>
  <si>
    <t>https://www.youtube.com/watch?v=aEAK6N982oQ</t>
  </si>
  <si>
    <t>Deception &amp; Multigenerational Inculturation Strategy of the Church to Convert Hindus</t>
  </si>
  <si>
    <t>https://www.youtube.com/watch?v=aBwX_u__31I</t>
  </si>
  <si>
    <t>History &amp; Contributions of the Jiva Goswami Tradition: Dialogue with Dr Satyanarayana Dasa #1</t>
  </si>
  <si>
    <t>https://www.youtube.com/watch?v=i24adZlRCZk</t>
  </si>
  <si>
    <t>Can Dharmic &amp; Abrahamic Traditions be Reconciled? Rajiv in Dialogue with Dr Satyanarayana Dasa #2</t>
  </si>
  <si>
    <t>https://www.youtube.com/watch?v=KYhdz2LiDLA</t>
  </si>
  <si>
    <t>American Myth Undergoing Latest Crisis, Needs Dharmic Missionaries. Rajiv with Yogi Amrit Desai #8</t>
  </si>
  <si>
    <t>https://www.youtube.com/watch?v=BKG8mWyOvuw</t>
  </si>
  <si>
    <t>Indian Spiritual Traditions Demand Discipline, Rigor &amp; Integrity: Dr Satyanarayana Dasa #3</t>
  </si>
  <si>
    <t>https://www.youtube.com/watch?v=bGDeGR7DrFw</t>
  </si>
  <si>
    <t>How Gurus Must Prevent Collective U-Turns of Western Students. Rajiv's Dialogue with Yogi Amrit #9</t>
  </si>
  <si>
    <t>https://www.youtube.com/watch?v=BsEY7XJTv70</t>
  </si>
  <si>
    <t>Provocative Speculation: Are Many Hindus Unfit for Hinduism? Rajiv with Dr Satyanarayana Dasa #4</t>
  </si>
  <si>
    <t>https://www.youtube.com/watch?v=Kfvmj7QyAfQ</t>
  </si>
  <si>
    <t>In Conversation with Francois Gautier</t>
  </si>
  <si>
    <t>10 months ago</t>
  </si>
  <si>
    <t>https://www.youtube.com/watch?v=C6XbkLOcyVs</t>
  </si>
  <si>
    <t>Dharma and Well-being, New Jersey 2016</t>
  </si>
  <si>
    <t>https://www.youtube.com/watch?v=ANDhhofT1w0</t>
  </si>
  <si>
    <t>Keynote at DCF Fundraiser in Los Angeles, 2016</t>
  </si>
  <si>
    <t>https://www.youtube.com/watch?v=qiir-ZWT6yI</t>
  </si>
  <si>
    <t>What are the chances that Liberal Muslims will call for a Reformation of Islam: Rajiv Malhotra</t>
  </si>
  <si>
    <t>https://www.youtube.com/watch?v=wEalKzas5Ig</t>
  </si>
  <si>
    <t>FACEBOOK HQ: Vedic Consciousness &amp; it's Relation to Modern Technology</t>
  </si>
  <si>
    <t>https://www.youtube.com/watch?v=6PUBS8MXVzc</t>
  </si>
  <si>
    <t>Academic Hinduphobia Book Launch, by Dr Subramanian Swamy</t>
  </si>
  <si>
    <t>https://www.youtube.com/watch?v=HmKETjjGv0E</t>
  </si>
  <si>
    <t>Hinduphobia of The Indian Left is a Combination of Many Factors: Rajiv Malhotra #5</t>
  </si>
  <si>
    <t>https://www.youtube.com/watch?v=vTz9mFEgYQU</t>
  </si>
  <si>
    <t>Can We Use Guna System To Classify Western Indologists: Rajiv Malhotra #2</t>
  </si>
  <si>
    <t>https://www.youtube.com/watch?v=B1KtIwSP4_U</t>
  </si>
  <si>
    <t>Intellectual &amp; Emotional Kshatriyas, Both Can Help Dharma &amp; India: Rajiv Malhotra #6</t>
  </si>
  <si>
    <t>https://www.youtube.com/watch?v=nUfn2eRsHgo</t>
  </si>
  <si>
    <t>Western Study of Sanskrit Misstates Our Sanskriti &amp; Conceals Facts: Rajiv Malhotra #7</t>
  </si>
  <si>
    <t>https://www.youtube.com/watch?v=sGXLoCpynsU</t>
  </si>
  <si>
    <t>Insiders Vs Outsiders — Who should have ‘Adhikara’ as Experts on Sanskrit: Rajiv Malhotra #3</t>
  </si>
  <si>
    <t>https://www.youtube.com/watch?v=Nattb-ZPK4g</t>
  </si>
  <si>
    <t>I am trying to Provoke the 'Insiders' to Protect our Sanskriti: Rajiv Malhotra #4</t>
  </si>
  <si>
    <t>https://www.youtube.com/watch?v=EfQbirNpLM8</t>
  </si>
  <si>
    <t>Murty Classical Library Translations Not Reviewed by Traditional Sanskrit Scholars' Panel #1</t>
  </si>
  <si>
    <t>https://www.youtube.com/watch?v=zNgyoAjVDhk</t>
  </si>
  <si>
    <t>Don't Be Deceived by Western Culture which is Celebrated by Media: Rajiv Malhotra #8</t>
  </si>
  <si>
    <t>https://www.youtube.com/watch?v=6WJO3QlTEpg</t>
  </si>
  <si>
    <t>Lack of Support for Rigorous Indology Research Such as that by Shrikant Talageri: Rajiv Malhotra #9</t>
  </si>
  <si>
    <t>https://www.youtube.com/watch?v=9qgkONu6nbk</t>
  </si>
  <si>
    <t>Knowing Hindu History: Rajiv Malhotra FULL Lecture, Duke University USA</t>
  </si>
  <si>
    <t>https://www.youtube.com/watch?v=k8zAYJDE01E</t>
  </si>
  <si>
    <t>Genocide &amp; Slavery Were Foundations of the so called 'Modernity Era' of Europe &amp; USA #10</t>
  </si>
  <si>
    <t>https://www.youtube.com/watch?v=Qh0tc43apsI</t>
  </si>
  <si>
    <t>Hindu Contributions in the Cognitive Sciences: Rajiv at Duke University #1</t>
  </si>
  <si>
    <t>9 months ago</t>
  </si>
  <si>
    <t>https://www.youtube.com/watch?v=B3K5KRgT0oE</t>
  </si>
  <si>
    <t>Sanskrit is Foundation of Linguistics &amp; Computation: Rajiv at Duke University #2</t>
  </si>
  <si>
    <t>https://www.youtube.com/watch?v=MqvZxu1TaSQ</t>
  </si>
  <si>
    <t>Digestion and the Doctrine of Christian Discovery #3</t>
  </si>
  <si>
    <t>https://www.youtube.com/watch?v=SmB_GUlrfzk</t>
  </si>
  <si>
    <t>Hindu Society was Not Otherworldly; India has been an Important Part of World History #4</t>
  </si>
  <si>
    <t>https://www.youtube.com/watch?v=YtD-Ro9OJRQ</t>
  </si>
  <si>
    <t>In Conversation with Sri Sri Ravi Shankar</t>
  </si>
  <si>
    <t>https://www.youtube.com/watch?v=m1RnPcyk_e0</t>
  </si>
  <si>
    <t>In Conversation with Dr. Nagaswamy, Eminent Archaeologist &amp; Scholar #23</t>
  </si>
  <si>
    <t>https://www.youtube.com/watch?v=MFeGLeUGf6Q</t>
  </si>
  <si>
    <t>Current State of De-colonizing is Incomplete - Lokmanthan 2016, Bhopal</t>
  </si>
  <si>
    <t>https://www.youtube.com/watch?v=ZkrWcJXqbGA</t>
  </si>
  <si>
    <t>Historical Evidence: Hindu Tradition Is Progressive, Not Regressive #6</t>
  </si>
  <si>
    <t>https://www.youtube.com/watch?v=ZoDHsv06lNI</t>
  </si>
  <si>
    <t>Sanskrit &amp; Sanskriti Are Being Secularized and their History Being Falsified #11</t>
  </si>
  <si>
    <t>https://www.youtube.com/watch?v=j53ZVDx4pYc</t>
  </si>
  <si>
    <t>In Medieval Times Arabs Embraced Indian Science &amp; Spread it to Europe #5</t>
  </si>
  <si>
    <t>https://www.youtube.com/watch?v=ZI3BJk08OWI</t>
  </si>
  <si>
    <t>Spanish Queen was a "Venture Capitalist" who Funded Columbus to Find a New Sea Route to India #7</t>
  </si>
  <si>
    <t>https://www.youtube.com/watch?v=84agoVdaycE</t>
  </si>
  <si>
    <t>Why Digestion Is the Greatest Threat to Hinduism: Rajiv at Duke University #8</t>
  </si>
  <si>
    <t>https://www.youtube.com/watch?v=sLe31yV0Fb4</t>
  </si>
  <si>
    <t>Is There Any Practical Utility of Sanskrit? #1</t>
  </si>
  <si>
    <t>https://www.youtube.com/watch?v=0gtyqapBB3A</t>
  </si>
  <si>
    <t>Reviving the Vedic Learning Methods in Children: Rajiv Malhotra #3</t>
  </si>
  <si>
    <t>https://www.youtube.com/watch?v=EKyX0QsZVJc</t>
  </si>
  <si>
    <t>Vernacular Languages in India Played a Hyphenated Role Along Side With Sanskrit #4</t>
  </si>
  <si>
    <t>https://www.youtube.com/watch?v=DrTFGS7SoCg</t>
  </si>
  <si>
    <t>Sufism is a "Soft" Conversion to Islam: Rajiv Malhotra #5</t>
  </si>
  <si>
    <t>https://www.youtube.com/watch?v=J2Z6w1bXfYc</t>
  </si>
  <si>
    <t>The Fight Is With Charvakas 2.0, Not with Buddhism or Other Dharmic Traditions #6</t>
  </si>
  <si>
    <t>https://www.youtube.com/watch?v=1jVMegap8Ws</t>
  </si>
  <si>
    <t>Samskrita Bharati Teaches Sanskrit by Immersion, Not by Grammar: Rajiv Malhotra #8</t>
  </si>
  <si>
    <t>https://www.youtube.com/watch?v=4W3kmjNG_K8</t>
  </si>
  <si>
    <t>In Conversation With General GD Bakshi</t>
  </si>
  <si>
    <t>https://www.youtube.com/watch?v=8usGAaPq-WY</t>
  </si>
  <si>
    <t>Response to a Young Post Modernist by Rajiv Malhotra</t>
  </si>
  <si>
    <t>https://www.youtube.com/watch?v=RfiT3REVHxQ</t>
  </si>
  <si>
    <t>Influences of Vedic Tradition on Accelerated Educational Systems like Montessori and Waldorf #9</t>
  </si>
  <si>
    <t>https://www.youtube.com/watch?v=r0tSX3M-7oM&amp;t=41s</t>
  </si>
  <si>
    <t>Times LitFest Delhi: How Will India Deal with President Trump</t>
  </si>
  <si>
    <t>https://www.youtube.com/watch?v=9hi4MG3BU0Y</t>
  </si>
  <si>
    <t>Deep Malaise Of Aspirational Whiteness in India: Rajiv at Duke Univ #10</t>
  </si>
  <si>
    <t>https://www.youtube.com/watch?v=uiJHx80DJcw</t>
  </si>
  <si>
    <t>What is Hindutva: Rajiv at Duke University #11</t>
  </si>
  <si>
    <t>https://www.youtube.com/watch?v=XWeFa6jUiPw</t>
  </si>
  <si>
    <t>Talk on Swadeshi Indology at IGNCA, New Delhi</t>
  </si>
  <si>
    <t>https://www.youtube.com/watch?v=Y5sHrOViVq0</t>
  </si>
  <si>
    <t>In Conversation with Dr. Sonal Mansingh</t>
  </si>
  <si>
    <t>8 months ago</t>
  </si>
  <si>
    <t>https://www.youtube.com/watch?v=SNAHZpRl3go</t>
  </si>
  <si>
    <t>A Discussion with Nithyananda: on God vs. Sadashiva, Why Wear Gold, Attacks against Hinduism &amp; More</t>
  </si>
  <si>
    <t>https://www.youtube.com/watch?v=kDDNkLWPpUc</t>
  </si>
  <si>
    <t>Dialogue with Prof R Vaidyanathan, IIM Bangalore - Caste System</t>
  </si>
  <si>
    <t>https://www.youtube.com/watch?v=Vrv16kSoTLQ</t>
  </si>
  <si>
    <t>Aagamas are As Central to Hinduism As Vedas #1</t>
  </si>
  <si>
    <t>https://www.youtube.com/watch?v=1k_PbRxkEqo</t>
  </si>
  <si>
    <t>Acārya Abhinavagupta Initiated Adi Shankaracharya Into Aagamas #2</t>
  </si>
  <si>
    <t>https://www.youtube.com/watch?v=JZ7LHVZfMwM</t>
  </si>
  <si>
    <t>Are Neo Vedantins Justified in Demeaning Rituals #3</t>
  </si>
  <si>
    <t>https://www.youtube.com/watch?v=-pTe3fDFF7U</t>
  </si>
  <si>
    <t>Aagamas Not Separate Set of Scriptures but Part of Vedas, Correct Nomenclature is "Vedaagamas" #4</t>
  </si>
  <si>
    <t>https://www.youtube.com/watch?v=HzuZ57Y3-VQ</t>
  </si>
  <si>
    <t>Atma Pramana Alone Does Not Confer the Adhikara to Impart Teachings of Sanatana Hindu Dharma #5</t>
  </si>
  <si>
    <t>https://www.youtube.com/watch?v=b96t52xbmO8</t>
  </si>
  <si>
    <t>Dialogue with Dr. HR Nagendra, President VYASA, Bangalore</t>
  </si>
  <si>
    <t>https://www.youtube.com/watch?v=6M1Mp5tvk-E</t>
  </si>
  <si>
    <t>Translating Hindu Itihasa to "Myth" Demeans &amp; Undermines Hindu Culture #6</t>
  </si>
  <si>
    <t>https://www.youtube.com/watch?v=LAZPY_rTJLU</t>
  </si>
  <si>
    <t>Bangalore Literature Festival 2016 - India Reclaiming Our Civilization's Heritage</t>
  </si>
  <si>
    <t>https://www.youtube.com/watch?v=13shkRG4RMc</t>
  </si>
  <si>
    <t>The Tree of Yoga is Rooted in Sanatana Hindu Dharma #7</t>
  </si>
  <si>
    <t>https://www.youtube.com/watch?v=lnII4AH2rHw</t>
  </si>
  <si>
    <t>Why Outsiders Like Pollock &amp; Doniger DO NOT Have Adhikara To Translate Hindu Shastra #8</t>
  </si>
  <si>
    <t>https://www.youtube.com/watch?v=az7GJp1YAXw</t>
  </si>
  <si>
    <t>Swami Nithyananda's Vision of a Theme Park Which Will Be a 'Living Presentation' of Vedic Culture #9</t>
  </si>
  <si>
    <t>https://www.youtube.com/watch?v=_zmgXM40afU</t>
  </si>
  <si>
    <t>Angkor Wat Was Built As a Mandala For The Whole Hindu Civilization #10</t>
  </si>
  <si>
    <t>https://www.youtube.com/watch?v=IS6hRiM7WuU</t>
  </si>
  <si>
    <t>Banning of Puja &amp; Rituals Shows ASI's Disregard for Sacredness In Indian Culture #11</t>
  </si>
  <si>
    <t>https://www.youtube.com/watch?v=-c4KLljIDeo</t>
  </si>
  <si>
    <t>Flaws in the Chronology of Western Indologists #12</t>
  </si>
  <si>
    <t>https://www.youtube.com/watch?v=6KN0GnYv6xQ</t>
  </si>
  <si>
    <t>Lack of Shastra Vidya Contributed to the Decline of Pagan Civilizations #13</t>
  </si>
  <si>
    <t>https://www.youtube.com/watch?v=GP0JLpTLOWU</t>
  </si>
  <si>
    <t>Distinction Between a Living Guru and a Deity #14</t>
  </si>
  <si>
    <t>https://www.youtube.com/watch?v=OdRuRzl5pwg</t>
  </si>
  <si>
    <t>Existence of Shiv Avatar Hanuman in Vaishnav Text of Ramayana is Not a Paradox #15</t>
  </si>
  <si>
    <t>https://www.youtube.com/watch?v=ImpfhngYCCA</t>
  </si>
  <si>
    <t>In Conversation with Shri Chamu Krishna Shastry</t>
  </si>
  <si>
    <t>https://www.youtube.com/watch?v=p08RUDejFXs</t>
  </si>
  <si>
    <t>God Particle, Shaktinipat (Quantum Entanglement), Divinity in Matter #17</t>
  </si>
  <si>
    <t>https://www.youtube.com/watch?v=NpCmOPhka6g</t>
  </si>
  <si>
    <t>Difference Between the Spiritual Process of Siddhis and Shaktis #18</t>
  </si>
  <si>
    <t>https://www.youtube.com/watch?v=Iz3TO-dXkSI</t>
  </si>
  <si>
    <t>Journalists are the Furthest Away from Truth and Spirituality #19</t>
  </si>
  <si>
    <t>https://www.youtube.com/watch?v=5Qbkf3waru8</t>
  </si>
  <si>
    <t>Shaktinipat is Beyond the Physics of Space and Time #20</t>
  </si>
  <si>
    <t>https://www.youtube.com/watch?v=0cvq3rbQ7Dw</t>
  </si>
  <si>
    <t>Can Machines Transmit Shakti? #21</t>
  </si>
  <si>
    <t>https://www.youtube.com/watch?v=69M5XJQEYX4</t>
  </si>
  <si>
    <t>"I am Spiritual But Not Religious", Makes NO Sense if a Hindu Says This #22</t>
  </si>
  <si>
    <t>https://www.youtube.com/watch?v=Yb0AWtlb8-g</t>
  </si>
  <si>
    <t>Donations to a Hindu Temple Should Legally be Owned by the Deity ResidingThere. #23</t>
  </si>
  <si>
    <t>https://www.youtube.com/watch?v=1Gop0_4D5pE</t>
  </si>
  <si>
    <t>Swami Nityananda on the "Collective Evolution" Theory of Sri Aurobindo #26</t>
  </si>
  <si>
    <t>https://www.youtube.com/watch?v=-pDxEjRprYM</t>
  </si>
  <si>
    <t>Bionic Humans &amp; Evolution of Consciousness #25</t>
  </si>
  <si>
    <t>https://www.youtube.com/watch?v=1P_XO3xfTCs</t>
  </si>
  <si>
    <t>A Hindu Perspective on the Ethics of GMO, Human Organs Farming, and The Karmic Imprint #24</t>
  </si>
  <si>
    <t>https://www.youtube.com/watch?v=Voaw-uef3Tw</t>
  </si>
  <si>
    <t>Hindu Perspective on Mercy Killing/Euthanasia #16</t>
  </si>
  <si>
    <t>https://www.youtube.com/watch?v=F2WG7neA31s</t>
  </si>
  <si>
    <t>Rajiv's Open Challenge to Neuro-Scientists— "Rishis Do Exist" #27</t>
  </si>
  <si>
    <t>https://www.youtube.com/watch?v=n5lHU4Qyfbk</t>
  </si>
  <si>
    <t>Do Miracle Healings Given by Yogis Hack the Karma Cycle #28</t>
  </si>
  <si>
    <t>https://www.youtube.com/watch?v=mcxquOK_mY8</t>
  </si>
  <si>
    <t>Breaking India: The Strategic Ploy Against Hinduism by Churches, Academics and More</t>
  </si>
  <si>
    <t>https://www.youtube.com/watch?v=9FgUTz996bs</t>
  </si>
  <si>
    <t>Continuing the Guru Parampara: Swami Nithyananda Shares His Mission of Gratitude and Integrity #30</t>
  </si>
  <si>
    <t>https://www.youtube.com/watch?v=DVcN5QXGA_w</t>
  </si>
  <si>
    <t>Be the Heir to Your Own Fortune: Can Billionaires Bank on Financial Security in the Next Life? #29</t>
  </si>
  <si>
    <t>https://www.youtube.com/watch?v=_D2sWZSHDqg&amp;t=834s</t>
  </si>
  <si>
    <t>Interview with a Neo-Jewish Pseudo-Hindu on Hinduized Judaism, Tantric Kabbala, &amp; More</t>
  </si>
  <si>
    <t>https://www.youtube.com/watch?v=7-JbRtATwHQ</t>
  </si>
  <si>
    <t>Being Different: Decolonizing Ourselves by Reversing the Indian Gaze Back at the West</t>
  </si>
  <si>
    <t>https://www.youtube.com/watch?v=N6IDjOR1OY0</t>
  </si>
  <si>
    <t>Indra's Net: Exposing the Western Academics who Attack Hinduism and Challenging their Claims</t>
  </si>
  <si>
    <t>7 months ago</t>
  </si>
  <si>
    <t>https://www.youtube.com/watch?v=mScbp58xwJE</t>
  </si>
  <si>
    <t>Hindu Gurus Accepting Max Mullerian Translations is the Biggest Disadvantage Done to Hinduism #31</t>
  </si>
  <si>
    <t>https://www.youtube.com/watch?v=eQBirhrwc3E</t>
  </si>
  <si>
    <t>Taking the Experience then Dropping the Guru: Why a Jewish Seeker Came &amp; then Left Hinduism</t>
  </si>
  <si>
    <t>https://www.youtube.com/watch?v=qzXGb7RIXmc</t>
  </si>
  <si>
    <t>Why does Swamiji wear so much Gold Jewellery? The reason Gold became precious. #32</t>
  </si>
  <si>
    <t>https://www.youtube.com/watch?v=JjtvU2xQpaQ</t>
  </si>
  <si>
    <t>The Battle for Sanskrit: Setting the Record Straight on our Ancient but Living Language</t>
  </si>
  <si>
    <t>https://www.youtube.com/watch?v=C6sAuCIhIzA</t>
  </si>
  <si>
    <t>Two Kinds of Divine Power, Siddhis and Shaktis, are NOT Occult, Paranormal or Superstition 34</t>
  </si>
  <si>
    <t>https://www.youtube.com/watch?v=strZVEaixcs</t>
  </si>
  <si>
    <t>Book on Major Gurus, Lost Parampara, Shiva's Trishul Denigrated as Symbol of The Devil #33</t>
  </si>
  <si>
    <t>https://www.youtube.com/watch?v=Ih4StVOa0Qs</t>
  </si>
  <si>
    <t>Indian Anti-Superstition Laws are Anti-Hindu &amp; Are Based on Western Idea of Superstition #35</t>
  </si>
  <si>
    <t>https://www.youtube.com/watch?v=LIl0C87tzGE</t>
  </si>
  <si>
    <t>Vajpayee Govt Took the Unfortunate Decision of Converting Ma Ganga Into a Lake #36</t>
  </si>
  <si>
    <t>https://www.youtube.com/watch?v=sZGlmV--sG4</t>
  </si>
  <si>
    <t>Rajiv Malhotra's Talk at S-Vyasa University, Bengaluru</t>
  </si>
  <si>
    <t>https://www.youtube.com/watch?v=MAt3aD51sUM</t>
  </si>
  <si>
    <t>Ram Leela is a Living Representation of "The Hindu Grand Narrative". # 37</t>
  </si>
  <si>
    <t>https://www.youtube.com/watch?v=EXkq2inhXiw</t>
  </si>
  <si>
    <t>Criticism on Interviewing Swami Nityananda, Rajiv Responds #38</t>
  </si>
  <si>
    <t>https://www.youtube.com/watch?v=XfaMChybaCc</t>
  </si>
  <si>
    <t>Academic Hinduphobia: Challenging Media and Western Academics who Blatantly Abuse Hinduism</t>
  </si>
  <si>
    <t>https://www.youtube.com/watch?v=D559dD7btfo</t>
  </si>
  <si>
    <t>All Civilizations, Traditions, Paths Are NOT The Same #1</t>
  </si>
  <si>
    <t>https://www.youtube.com/watch?v=rt5w2HzSWc0</t>
  </si>
  <si>
    <t>Lecture on "Diplomacy and Brand India" - Foreign Service Institute, New Delhi</t>
  </si>
  <si>
    <t>6 months ago</t>
  </si>
  <si>
    <t>https://www.youtube.com/watch?v=kvEIBfEnwXM</t>
  </si>
  <si>
    <t>Swadeshi Indology Conference 2 — Inaugural Session</t>
  </si>
  <si>
    <t>https://www.youtube.com/watch?v=lkDfIrZy2VY</t>
  </si>
  <si>
    <t>Swadeshi Indology Conference 2 — Closing Session</t>
  </si>
  <si>
    <t>https://www.youtube.com/watch?v=vB9JqlUiYUk</t>
  </si>
  <si>
    <t>Hindu Students Council &amp; Rajiv Malhotra Discuss CNN's Latest Hinduphobia</t>
  </si>
  <si>
    <t>https://www.youtube.com/watch?v=vzoIHUTieE0</t>
  </si>
  <si>
    <t>"Idea of Bharatiya Exceptionalism" — Idea of Bharat International Conference</t>
  </si>
  <si>
    <t>5 months ago</t>
  </si>
  <si>
    <t>https://www.youtube.com/watch?v=eKSuEJqn2NI</t>
  </si>
  <si>
    <t>Jewish-Hindu Difference on Nature of Reincarnation #2</t>
  </si>
  <si>
    <t>https://www.youtube.com/watch?v=1UnsEQPK3PQ</t>
  </si>
  <si>
    <t>Global Perceptions of Indian Heritage - SI Conference 2- Inaugural Session</t>
  </si>
  <si>
    <t>https://www.youtube.com/watch?v=bD-uUsBgY-w</t>
  </si>
  <si>
    <t>Global Perceptions of Indian Heritage - SI Conference 2- Closing Session</t>
  </si>
  <si>
    <t>https://www.youtube.com/watch?v=Lrh5zQHEIk4</t>
  </si>
  <si>
    <t>Monograph 1: Pollock's Three Dimensional Philology</t>
  </si>
  <si>
    <t>https://www.youtube.com/watch?v=edQr4IJQuEg</t>
  </si>
  <si>
    <t>Monograph 2: Politics of Sanskrit Studies</t>
  </si>
  <si>
    <t>https://www.youtube.com/watch?v=RJSsEA6fpJE</t>
  </si>
  <si>
    <t>Purva Paksa of Pollock's use of Chronology - Megh K &amp; Manogna S</t>
  </si>
  <si>
    <t>https://www.youtube.com/watch?v=BlNY-1vmqvA</t>
  </si>
  <si>
    <t>Critique of &amp; Rebuttal to Pollock's Dating for Epics - Nilesh Oak</t>
  </si>
  <si>
    <t>https://www.youtube.com/watch?v=_CKZQa18hcY</t>
  </si>
  <si>
    <t>Mimamsa Critique of Pollock's History Theory - Dr S. Tilak</t>
  </si>
  <si>
    <t>https://www.youtube.com/watch?v=iwaHs0-q9l8</t>
  </si>
  <si>
    <t>The Science of Meaning - Sudarshan Therani</t>
  </si>
  <si>
    <t>https://www.youtube.com/watch?v=lkO1JaN7BoQ</t>
  </si>
  <si>
    <t>Gaṇita Śāstra &amp; Western Mathematics - S Mukhopadhayay</t>
  </si>
  <si>
    <t>https://www.youtube.com/watch?v=vaRCmUwpmNk</t>
  </si>
  <si>
    <t>Are Sanskrit Grammar &amp; Royal Power Related - Sowmya K</t>
  </si>
  <si>
    <t>https://www.youtube.com/watch?v=qY_yQIrKwRk</t>
  </si>
  <si>
    <t>Examination of Pollock's "Project SKSEC" - Manjushree Hegde</t>
  </si>
  <si>
    <t>https://www.youtube.com/watch?v=4ZkNnR--tMY</t>
  </si>
  <si>
    <t>A Computational Theory for Rasa - Prof K Gopinath</t>
  </si>
  <si>
    <t>https://www.youtube.com/watch?v=Fb11XAvWeyE</t>
  </si>
  <si>
    <t>Pollock's Influence on Contemporary Discourse- Discussion between Sonal Mansingh and Rajiv Malhotra</t>
  </si>
  <si>
    <t>https://www.youtube.com/watch?v=xAicQnL_abA</t>
  </si>
  <si>
    <t>Why Traditional Scholars Should Take Pollock Seriously - Rajiv Malhotra Explains</t>
  </si>
  <si>
    <t>https://www.youtube.com/watch?v=kcbL1wC9PEg</t>
  </si>
  <si>
    <t>Sheldon Pollock's Prashastis For His Funding Sources</t>
  </si>
  <si>
    <t>https://www.youtube.com/watch?v=qqDl6coS7wg</t>
  </si>
  <si>
    <t>Rajiv Malhotra Darshan with Puri Shankaracharya to discuss common interests</t>
  </si>
  <si>
    <t>https://www.youtube.com/watch?v=0RYS6V76lRQ</t>
  </si>
  <si>
    <t>Decolonizing the Indian Civil Services: Rajiv Malhotra</t>
  </si>
  <si>
    <t>https://www.youtube.com/watch?v=gtJ9OzJIB_c</t>
  </si>
  <si>
    <t>R Nagaswamy's Plenary Talk at Swadeshi Indology Conf 2</t>
  </si>
  <si>
    <t>https://www.youtube.com/watch?v=7AYmPqY5iF4</t>
  </si>
  <si>
    <t>Lets Debate the Politics of Social Sciences</t>
  </si>
  <si>
    <t>https://www.youtube.com/watch?v=4iGdwJ3nQcs&amp;t=38s</t>
  </si>
  <si>
    <t>Kashmir Violence and the Legal Hounding of Madhu Kishwar</t>
  </si>
  <si>
    <t>4 months ago</t>
  </si>
  <si>
    <t>https://www.youtube.com/watch?v=OI3nL5YCIO8</t>
  </si>
  <si>
    <t>Princeton University's Parth Parihar Interviews Rajiv Malhotra</t>
  </si>
  <si>
    <t>https://www.youtube.com/watch?v=_xxJKDZyRuE</t>
  </si>
  <si>
    <t>Keynote Speech by Rajiv Malhotra: "Hindu Contributions to Humanity"</t>
  </si>
  <si>
    <t>https://www.youtube.com/watch?v=vhlPSbFlxPI</t>
  </si>
  <si>
    <t>Rajiv Malhotra Invites Hindus To Send Queries About Hinduism</t>
  </si>
  <si>
    <t>https://www.youtube.com/watch?v=vmOlaD1O5rg</t>
  </si>
  <si>
    <t>Did the "Art of Living" Event Destroy The Yamuna, as Alleged?</t>
  </si>
  <si>
    <t>https://www.youtube.com/watch?v=WzgR7yTQNzY</t>
  </si>
  <si>
    <t>In Conversation with Meenakshi Jain</t>
  </si>
  <si>
    <t>https://www.youtube.com/watch?v=SNpVBfgzPmo</t>
  </si>
  <si>
    <t>Discussing the Digestion of Yoga with a White Hindu</t>
  </si>
  <si>
    <t>https://www.youtube.com/watch?v=MC9pK4dCHAs</t>
  </si>
  <si>
    <t>Natyasastra to Bollywood: Rasa, an eternal experience - Charu Uppal</t>
  </si>
  <si>
    <t>3 months ago</t>
  </si>
  <si>
    <t>https://www.youtube.com/watch?v=g8GW7DlPr4g</t>
  </si>
  <si>
    <t>The Science of the Sacred - Sudarshan Therani</t>
  </si>
  <si>
    <t>https://www.youtube.com/watch?v=lQph5joRdU8</t>
  </si>
  <si>
    <t>Sheldon Pollock &amp; Desacralization of Sanskrit - Megh K and Manogna S</t>
  </si>
  <si>
    <t>https://www.youtube.com/watch?v=DMReaVWJGFE</t>
  </si>
  <si>
    <t>Pollock's views on Rasa: A Critique - Karthik S Joshi</t>
  </si>
  <si>
    <t>https://www.youtube.com/watch?v=Zused4CGMw4</t>
  </si>
  <si>
    <t>Sanskrit is not dead - Satyanarayana Dasa</t>
  </si>
  <si>
    <t>https://www.youtube.com/watch?v=KCUZ6hBgxc0</t>
  </si>
  <si>
    <t>Pollock's "From Rasa Seen to Rasa Heard": A Critique - Sreejit Datta</t>
  </si>
  <si>
    <t>https://www.youtube.com/watch?v=k0FNC9LuJoo&amp;t=4s</t>
  </si>
  <si>
    <t>The Buddha Versus Sheldon Pollock — Dr. Koenraad Elst</t>
  </si>
  <si>
    <t>https://www.youtube.com/watch?v=DBYSIkWsAOI</t>
  </si>
  <si>
    <t>Remarks From Chair: Session on Misc Themes - Shashi Tiwari</t>
  </si>
  <si>
    <t>https://www.youtube.com/watch?v=VKbVHIgKbbo</t>
  </si>
  <si>
    <t>Remarks From Chair: Session on Sastra &amp; Misc Theme — Dr. Aravinda Rao</t>
  </si>
  <si>
    <t>https://www.youtube.com/watch?v=uaTb9-4kT2Y</t>
  </si>
  <si>
    <t>Hinduism and Buddhism: Convergent or Divergent - Rajath V</t>
  </si>
  <si>
    <t>https://www.youtube.com/watch?v=wKoUB00RmE0</t>
  </si>
  <si>
    <t>The Science &amp; Nescience of Mimamsa - Sudarshan Therani</t>
  </si>
  <si>
    <t>https://www.youtube.com/watch?v=sI2xSENomQY</t>
  </si>
  <si>
    <t>Pollock's 'Irresponsible' Vs Valmiki's 'Plausible' Ramayana - Animesh Aaryan</t>
  </si>
  <si>
    <t>https://www.youtube.com/watch?v=Ts09Fp7M53k</t>
  </si>
  <si>
    <t>The divine nature of the Vedas - Alok Mishra</t>
  </si>
  <si>
    <t>https://www.youtube.com/watch?v=inDcB8LwlqI</t>
  </si>
  <si>
    <t>Sastra of Science &amp; Science of Sastras - Madhu &amp; Sudarshan Therani</t>
  </si>
  <si>
    <t>https://www.youtube.com/watch?v=1wYg5d-4aVg</t>
  </si>
  <si>
    <t>Rejoinder to Rasa Reader: An Insider View - Sharda Narayanan</t>
  </si>
  <si>
    <t>https://www.youtube.com/watch?v=oLCI7vQ7WFk</t>
  </si>
  <si>
    <t>Remarks From Chair: Session on Rasa - Dr Pappu Venugopala Rao</t>
  </si>
  <si>
    <t>https://www.youtube.com/watch?v=Owv0FewW5Bo</t>
  </si>
  <si>
    <t>Commonalities in Hindu &amp; Buddhist Meta Framework - Ravi Joshi</t>
  </si>
  <si>
    <t>https://www.youtube.com/watch?v=3ytmTvor21A</t>
  </si>
  <si>
    <t>Impressions of Swadeshi Indology Conference 2 - Dr. Sonal Mansingh</t>
  </si>
  <si>
    <t>https://www.youtube.com/watch?v=tPgOVeqnOcc</t>
  </si>
  <si>
    <t>Remarks from chair - Session 2 on Rasa - Prof. K Gopinath</t>
  </si>
  <si>
    <t>https://www.youtube.com/watch?v=sEg8fP2ckhI</t>
  </si>
  <si>
    <t>Plenary Session 3: Dr. Pappu Venugopala Rao</t>
  </si>
  <si>
    <t>https://www.youtube.com/watch?v=tmCFtpj6IZc</t>
  </si>
  <si>
    <t>Plenary Session 2 - Dr Meenakshi Jain</t>
  </si>
  <si>
    <t>https://www.youtube.com/watch?v=Ul-faWS75vA</t>
  </si>
  <si>
    <t>Pollock’s Hypothesis on “Othering” is unscientific - Murali KV</t>
  </si>
  <si>
    <t>https://www.youtube.com/watch?v=rP79c8rd-jE</t>
  </si>
  <si>
    <t>Upanishads and Buddha's Teachings - Sunil M V</t>
  </si>
  <si>
    <t>https://www.youtube.com/watch?v=4ej2lqB-kjM</t>
  </si>
  <si>
    <t>Pollock's Desacralisation of the Indian Rasa Tradition - Ashay Naik</t>
  </si>
  <si>
    <t>https://www.youtube.com/watch?v=OmWUkxANoEk</t>
  </si>
  <si>
    <t>Mimamsa and the Problem of History in Traditional India - Ananth Sethuraman</t>
  </si>
  <si>
    <t>https://www.youtube.com/watch?v=5IYA6g6rNW0</t>
  </si>
  <si>
    <t>Rasa one step below Brahman - Dr. R Ganesh</t>
  </si>
  <si>
    <t>https://www.youtube.com/watch?v=zEXu5K5eyCY</t>
  </si>
  <si>
    <t>Rasa theory - Dr. Nagaswamy</t>
  </si>
  <si>
    <t>https://www.youtube.com/watch?v=s9g49kgd9ao</t>
  </si>
  <si>
    <t>Change and growth of Rasa Theory - Naresh Cuntoor</t>
  </si>
  <si>
    <t>https://www.youtube.com/watch?v=7IXp156RgtQ</t>
  </si>
  <si>
    <t>Mimamsa and Ahistoricism - Prof. K S Kannan</t>
  </si>
  <si>
    <t>https://www.youtube.com/watch?v=1CJb6PuWDqk</t>
  </si>
  <si>
    <t>Remarks From Chair - Session on Chronology and Buddhism_Dr Nagaswamy</t>
  </si>
  <si>
    <t>https://www.youtube.com/watch?v=3Pat7agSMJU&amp;t=22s</t>
  </si>
  <si>
    <t>Brahmanism, Buddhism and Mimamsa - Sharda Narayanan</t>
  </si>
  <si>
    <t>https://www.youtube.com/watch?v=lyiuoR-2E6I</t>
  </si>
  <si>
    <t>Examining Pollock's "Sanskrit Cosmopolis" - Arvind Prasad</t>
  </si>
  <si>
    <t>https://www.youtube.com/watch?v=h4ZgKKlmUl0&amp;t=481s</t>
  </si>
  <si>
    <t>Conflict Between Buddhism &amp; Hinduism - Dr. R Nagaswamy</t>
  </si>
  <si>
    <t>https://www.youtube.com/watch?v=8gCMYZ-alVw</t>
  </si>
  <si>
    <t>Pollock's Philology: Mixing Ramayana and Political Imagination - Ishani Dutta</t>
  </si>
  <si>
    <t>https://www.youtube.com/watch?v=aPfBxS4huSc</t>
  </si>
  <si>
    <t>Remarks from Chair - Session on Mimamsa &amp; some Misc topics - Dr. Koenraad Elst</t>
  </si>
  <si>
    <t>https://www.youtube.com/watch?v=HQK8u4lh7y0</t>
  </si>
  <si>
    <t>Remarks from chair - Session on Philology - Dr. Korada Subrahmanyam</t>
  </si>
  <si>
    <t>https://www.youtube.com/watch?v=qIQN0DtO2Z8</t>
  </si>
  <si>
    <t>Remarks from chair - Session on Buddhism - Dr. Amarjiva Lochan</t>
  </si>
  <si>
    <t>https://www.youtube.com/watch?v=ZErxsCxSQsA</t>
  </si>
  <si>
    <t>Pollock's "Death of Sanskrit" - An Analysis - Jayaraman Mahadevan</t>
  </si>
  <si>
    <t>https://www.youtube.com/watch?v=ZyApm_PJ-W8&amp;t=65s</t>
  </si>
  <si>
    <t>India’s (Unacknowledged) Contributions to Mind Sciences: Rajiv Malhotra</t>
  </si>
  <si>
    <t>https://www.youtube.com/watch?v=VFJFvcNogFU</t>
  </si>
  <si>
    <t>Rajiv Malhotra in Conversation with Brooke Boon, Founder of ‘Holy Yoga’</t>
  </si>
  <si>
    <t>https://www.youtube.com/watch?v=JlEmX46IYNY</t>
  </si>
  <si>
    <t>This video is duplicate load in YouTube so dropped</t>
  </si>
  <si>
    <t>https://www.youtube.com/watch?v=SPD35eCSgDk</t>
  </si>
  <si>
    <t>In Conversation with Vivek Agnihotri, A Patriotic Filmmaker</t>
  </si>
  <si>
    <t>https://www.youtube.com/watch?v=sy6xQyjX7qg</t>
  </si>
  <si>
    <t>Discussion with Suzin Green, a Kali Worshipper &amp; Yoga-based Life Coach</t>
  </si>
  <si>
    <t>https://www.youtube.com/watch?v=xCLLCYBg7Zc</t>
  </si>
  <si>
    <t>Dr Subramanian Swamy In Conversation with Rajiv Malhotra</t>
  </si>
  <si>
    <t>2 months ago</t>
  </si>
  <si>
    <t>https://www.youtube.com/watch?v=s4vjcCAXvVI</t>
  </si>
  <si>
    <t>Discussion with General GD Bakshi: "Bold Proposals on India's Security Dilemmas"</t>
  </si>
  <si>
    <t>https://www.youtube.com/watch?v=wfQX8QWcWgI</t>
  </si>
  <si>
    <t>Swami Vigyananand (Chairman of World Hindu Foundation) In Conversation with Rajiv Malhotra</t>
  </si>
  <si>
    <t>https://www.youtube.com/watch?v=c50rfZlrNXU</t>
  </si>
  <si>
    <t>Prof R. Vaidyanathan &amp; Rajiv Malhotra on the Global and Local Economic Mess</t>
  </si>
  <si>
    <t>https://www.youtube.com/watch?v=Bx9ffGtMMxo</t>
  </si>
  <si>
    <t>Meet the Real Hero Behind Demonetization</t>
  </si>
  <si>
    <t>https://www.youtube.com/watch?v=DL5cLBZou3I</t>
  </si>
  <si>
    <t>Sushil Pandit, Well-Known Kashmir Activist In Conversation with Rajiv Malhotra</t>
  </si>
  <si>
    <t>1 month ago</t>
  </si>
  <si>
    <t>https://www.youtube.com/watch?v=dHQ-HMVdPyE</t>
  </si>
  <si>
    <t>Swami Nirmalanandanatha, Head of Sri Adichunchanagiri Muth, Discusses with Rajiv Malhotra</t>
  </si>
  <si>
    <t>https://www.youtube.com/watch?v=GtSbmTRia5Y</t>
  </si>
  <si>
    <t>Rajiv Malhotra with Prof Mohan on "Breaking India" on Tharanga</t>
  </si>
  <si>
    <t>https://www.youtube.com/watch?v=dvcJI5yAd6M&amp;t=122s</t>
  </si>
  <si>
    <t>Persecution of Hindu Gurus Who Challenge Hinduphobia</t>
  </si>
  <si>
    <t>https://www.youtube.com/watch?v=ahKeSqFT0Nk</t>
  </si>
  <si>
    <t>Interfaith Marriages in USA. Discussion with Researcher</t>
  </si>
  <si>
    <t>https://www.youtube.com/watch?v=JB_lc00AWIE</t>
  </si>
  <si>
    <t>V. Ramachandran, the Noted Neuroscientist, In Conversation with Rajiv Malhotra</t>
  </si>
  <si>
    <t>3 weeks ago</t>
  </si>
  <si>
    <t>https://www.youtube.com/watch?v=9jjsiAFVdXc</t>
  </si>
  <si>
    <t>"Is Templeton Foundation Digesting Vedanta into Christianity?"</t>
  </si>
  <si>
    <t>2 weeks ago</t>
  </si>
  <si>
    <t>https://www.youtube.com/watch?v=9QSUsKZfoQA&amp;t=156s</t>
  </si>
  <si>
    <t>Head of India's Top Sanskrit Research Center in Conversation with Rajiv Malhotra</t>
  </si>
  <si>
    <t>1 week ago</t>
  </si>
  <si>
    <t>Rishis Discovered Velocity of Light</t>
  </si>
  <si>
    <t>4.10.17</t>
  </si>
  <si>
    <t>Invention on Steel &amp; Distillation of Zinc in Ancient India</t>
  </si>
  <si>
    <t>India, a major player in World Economy till 1850</t>
  </si>
  <si>
    <t>India, in context of America</t>
  </si>
  <si>
    <t>Indian influences in Middle East</t>
  </si>
  <si>
    <t>Doctorine of Christian Discovery/ Fatwas by Vatican</t>
  </si>
  <si>
    <t>9.10.17</t>
  </si>
  <si>
    <t>Accelerated Learning/CIA &amp; Russians Studied Yogis</t>
  </si>
  <si>
    <t>Nano technology in Ayurveda</t>
  </si>
  <si>
    <t>for later - https://www.youtube.com/watch?v=wAMhL7aBZ5I</t>
  </si>
  <si>
    <t>Vivekananda created an institutionalized impact</t>
  </si>
  <si>
    <t>3.10.17</t>
  </si>
  <si>
    <t>Sri Aurbindo's impact on Human evolution movement</t>
  </si>
  <si>
    <t>Maharishi Mahesh Yogi introduced medition to the USA</t>
  </si>
  <si>
    <t>Stephen LaBerge's Digestion of Yoga Needra</t>
  </si>
  <si>
    <t>Breaking India reactions to be edited.</t>
  </si>
  <si>
    <t>Row Labels</t>
  </si>
  <si>
    <t>(blank)</t>
  </si>
  <si>
    <t>Grand Total</t>
  </si>
  <si>
    <t>Count of Video Title</t>
  </si>
  <si>
    <t>Column Labels</t>
  </si>
  <si>
    <t>Total Count of Video Title</t>
  </si>
  <si>
    <t>11-09-17 - 17-09-17</t>
  </si>
  <si>
    <t>18-09-17 - 24-09-17</t>
  </si>
  <si>
    <t>25-09-17 - 01-10-17</t>
  </si>
  <si>
    <t>02-10-17 - 08-10-17</t>
  </si>
  <si>
    <t>09-10-17 - 10-10-17</t>
  </si>
  <si>
    <t>Content Owner</t>
  </si>
  <si>
    <t>Video Owner</t>
  </si>
  <si>
    <t>Start</t>
  </si>
  <si>
    <t>Replay</t>
  </si>
  <si>
    <t>Aravindan Neelakandan &amp; Rajiv Malhotra on how "Breaking India" book was conceived.</t>
  </si>
  <si>
    <t>https://www.youtube.com/embed/mjFek0gF97s?start=175&amp;end=349&amp;autoplay=1</t>
  </si>
  <si>
    <t>Book touches social, cultural narrative. It is not political.</t>
  </si>
  <si>
    <t>https://www.youtube.com/embed/Kxuiy8OL30w?start=89&amp;end=125&amp;autoplay=1</t>
  </si>
  <si>
    <t>Conspiracy theory and "Breaking India" book</t>
  </si>
  <si>
    <t>https://www.youtube.com/embed/_IcfDP-ezpo?start=50&amp;end=280&amp;autoplay=1</t>
  </si>
  <si>
    <t>https://www.youtube.com/embed/_IcfDP-ezpo?start=280&amp;end=499&amp;autoplay=1</t>
  </si>
  <si>
    <t>https://www.youtube.com/embed/_IcfDP-ezpo?start=499&amp;end=620&amp;autoplay=1</t>
  </si>
  <si>
    <t>https://www.youtube.com/embed/Uq2PJjcHiqI?start=0&amp;end=102&amp;autoplay=1</t>
  </si>
  <si>
    <t>https://www.youtube.com/embed/Uq2PJjcHiqI?start=102&amp;end=268&amp;autoplay=1</t>
  </si>
  <si>
    <t>https://www.youtube.com/embed/Uq2PJjcHiqI?start=268&amp;end=401&amp;autoplay=1</t>
  </si>
  <si>
    <t>https://www.youtube.com/embed/Uq2PJjcHiqI?start=401&amp;end=623&amp;autoplay=1</t>
  </si>
  <si>
    <t>Christian media worldwide orchestrate efforts to deliberately project India as a country where all sort of atrocities occur.</t>
  </si>
  <si>
    <t>https://www.youtube.com/embed/Uq2PJjcHiqI?start=623&amp;end=663&amp;autoplay=1</t>
  </si>
  <si>
    <t>RM argues that we need to relook at the way we define minorities. It should be viewed in the light that certain minorities are governed by foreign players and hence definitely not be considered as a minority.</t>
  </si>
  <si>
    <t>https://www.youtube.com/embed/Uq2PJjcHiqI?start=664&amp;end=802&amp;autoplay=1</t>
  </si>
  <si>
    <t>https://www.youtube.com/embed/5LJPOCxc3E8?start=0&amp;end=131&amp;autoplay=1</t>
  </si>
  <si>
    <t>Radicalization of Christianity in India</t>
  </si>
  <si>
    <t>https://www.youtube.com/embed/5LJPOCxc3E8?start=131&amp;end=353&amp;autoplay=1</t>
  </si>
  <si>
    <t>https://www.youtube.com/embed/5LJPOCxc3E8?start=358&amp;end=639&amp;autoplay=1</t>
  </si>
  <si>
    <t>Princeton University discussion on "Breaking India" - speaker Reverend Thompson.</t>
  </si>
  <si>
    <t>https://www.youtube.com/embed/LdrmgXtd_rs?start=123&amp;end=169&amp;autoplay=1</t>
  </si>
  <si>
    <t>https://www.youtube.com/embed/LdrmgXtd_rs?start=223&amp;end=472&amp;autoplay=1</t>
  </si>
  <si>
    <t>https://www.youtube.com/embed/LdrmgXtd_rs?start=472&amp;end=572&amp;autoplay=1</t>
  </si>
  <si>
    <t>https://www.youtube.com/embed/LdrmgXtd_rs?start=572&amp;end=712&amp;autoplay=1</t>
  </si>
  <si>
    <t>https://www.youtube.com/embed/gbWoqwJKhbM?start=2&amp;end=524&amp;autoplay=1</t>
  </si>
  <si>
    <t>The systematic approach to converting people to Christianity in India is objectionable.</t>
  </si>
  <si>
    <t>https://www.youtube.com/embed/RdBz1kIwrqo?start=80&amp;end=258&amp;autoplay=1</t>
  </si>
  <si>
    <t>https://www.youtube.com/embed/RdBz1kIwrqo?start=266&amp;end=401&amp;autoplay=1</t>
  </si>
  <si>
    <t>https://www.youtube.com/embed/RdBz1kIwrqo?start=563&amp;end=646&amp;autoplay=1</t>
  </si>
  <si>
    <t>https://www.youtube.com/embed/N0PD3TuLvoo?start=0&amp;end=76&amp;autoplay=1</t>
  </si>
  <si>
    <t>https://www.youtube.com/embed/N0PD3TuLvoo?start=77&amp;end=184&amp;autoplay=1</t>
  </si>
  <si>
    <t>https://www.youtube.com/embed/N0PD3TuLvoo?start=197&amp;end=304&amp;autoplay=1</t>
  </si>
  <si>
    <t>RM explains the methodology used to arrive at the conclusion that there is a large scale orchestration effort based in the US to promote the conversion agenda.</t>
  </si>
  <si>
    <t>https://www.youtube.com/embed/N0PD3TuLvoo?start=304&amp;end=527&amp;autoplay=1</t>
  </si>
  <si>
    <t>https://www.youtube.com/embed/C3_6Ub1GnfA?start=0&amp;end=211&amp;autoplay=1</t>
  </si>
  <si>
    <t>https://www.youtube.com/embed/C3_6Ub1GnfA?start=211&amp;end=430&amp;autoplay=1</t>
  </si>
  <si>
    <t>https://www.youtube.com/embed/C3_6Ub1GnfA?start=431&amp;end=520&amp;autoplay=1</t>
  </si>
  <si>
    <t>Buddhism in India flourished for nearly 1000 years in India before its decline.</t>
  </si>
  <si>
    <t>https://www.youtube.com/embed/C3_6Ub1GnfA?start=538&amp;end=589&amp;autoplay=1</t>
  </si>
  <si>
    <t>https://www.youtube.com/embed/C3_6Ub1GnfA?start=589&amp;end=663&amp;autoplay=1</t>
  </si>
  <si>
    <t>https://www.youtube.com/embed/BEz8X5SUwjY?start=67&amp;end=355&amp;autoplay=1</t>
  </si>
  <si>
    <t>https://www.youtube.com/embed/BEz8X5SUwjY?start=355&amp;end=633&amp;autoplay=1</t>
  </si>
  <si>
    <t>Extensive research by RM has revealed how churches, governments, private think-tanks, foundations, academic institutions provide funding, ideology and manpower. Media also cooperates by painting a biased view of the happenings in India.</t>
  </si>
  <si>
    <t>https://www.youtube.com/embed/lzMEDrUFlpw?start=0&amp;end=368&amp;autoplay=1</t>
  </si>
  <si>
    <t>Some prestigious think tanks and liberal Christians in the US unknowingly get involved in the Breaking India activities without realizing the consequences of some of the actions they take.</t>
  </si>
  <si>
    <t>https://www.youtube.com/embed/lzMEDrUFlpw?start=368&amp;end=542&amp;autoplay=1</t>
  </si>
  <si>
    <t>Understanding the campaign by vested interests for a Dravidian identity</t>
  </si>
  <si>
    <t>https://www.youtube.com/embed/lzMEDrUFlpw?start=542&amp;end=659&amp;autoplay=1</t>
  </si>
  <si>
    <t>https://www.youtube.com/embed/qCG2vqnaUx4?start=0&amp;end=347&amp;autoplay=1</t>
  </si>
  <si>
    <t>https://www.youtube.com/embed/qCG2vqnaUx4?start=347&amp;end=514&amp;autoplay=1</t>
  </si>
  <si>
    <t>https://www.youtube.com/embed/ycnvyB8pDEM?start=31&amp;end=306&amp;autoplay=1</t>
  </si>
  <si>
    <t>https://www.youtube.com/embed/ycnvyB8pDEM?start=307&amp;end=395&amp;autoplay=1</t>
  </si>
  <si>
    <t>The challenges in getting organized support against Breaking India forces in India</t>
  </si>
  <si>
    <t>https://www.youtube.com/embed/ycnvyB8pDEM?start=395&amp;end=528&amp;autoplay=1</t>
  </si>
  <si>
    <t>https://www.youtube.com/embed/ycnvyB8pDEM?start=528&amp;end=675&amp;autoplay=1</t>
  </si>
  <si>
    <t>https://www.youtube.com/embed/xANxZaCCD70?start=0&amp;end=318&amp;autoplay=1</t>
  </si>
  <si>
    <t>https://www.youtube.com/embed/xANxZaCCD70?start=318&amp;end=438&amp;autoplay=1</t>
  </si>
  <si>
    <t>RM describes the attitude of people when it comes to contributing to the anti - Breaking India efforts. Most Indians tend to be cheerleaders rather than active participants despite the gravity of the situation.</t>
  </si>
  <si>
    <t>https://www.youtube.com/embed/xANxZaCCD70?start=440&amp;end=824&amp;autoplay=1</t>
  </si>
  <si>
    <t>https://www.youtube.com/embed/THua8SMPtK4?start=0&amp;end=276&amp;autoplay=1</t>
  </si>
  <si>
    <t>Reincarnation frees from History centrism</t>
  </si>
  <si>
    <t>https://www.youtube.com/embed/6_9IYK6ZlyY?start=86&amp;end=188&amp;autoplay=1</t>
  </si>
  <si>
    <t>https://www.youtube.com/embed/6_9IYK6ZlyY?start=189&amp;end=315&amp;autoplay=1</t>
  </si>
  <si>
    <t>https://www.youtube.com/embed/6_9IYK6ZlyY?start=316&amp;end=476&amp;autoplay=1</t>
  </si>
  <si>
    <t>https://www.youtube.com/embed/6_9IYK6ZlyY?start=477&amp;end=764&amp;autoplay=1</t>
  </si>
  <si>
    <t>https://www.youtube.com/embed/LXrKKz7Mld8?start=0&amp;end=447&amp;autoplay=1</t>
  </si>
  <si>
    <t>https://www.youtube.com/embed/ufZ1BZcZzKI?start=0&amp;end=297&amp;autoplay=1</t>
  </si>
  <si>
    <t>Soul, Salvation, Atman, Moksha are not same concepts</t>
  </si>
  <si>
    <t>https://www.youtube.com/embed/rNhQIKC2jPM?start=261&amp;end=457&amp;autoplay=1</t>
  </si>
  <si>
    <t>https://www.youtube.com/embed/FndfcBhZklU?start=0&amp;end=360&amp;autoplay=1</t>
  </si>
  <si>
    <t>https://www.youtube.com/embed/20u8yHim1tM?start=0&amp;end=222&amp;autoplay=1</t>
  </si>
  <si>
    <t>https://www.youtube.com/embed/QEUeYDEFtsE?start=0&amp;end=284&amp;autoplay=1</t>
  </si>
  <si>
    <t>https://www.youtube.com/embed/Yhp3rFuo5Cw?start=0&amp;end=360&amp;autoplay=1</t>
  </si>
  <si>
    <t>History centrisim, the cause for Institutionalization of Abrahamic traditions</t>
  </si>
  <si>
    <t>https://www.youtube.com/embed/Yhp3rFuo5Cw?start=361&amp;end=771&amp;autoplay=1</t>
  </si>
  <si>
    <t>https://www.youtube.com/embed/8qjQH_-WzyE?start=0&amp;end=344&amp;autoplay=1</t>
  </si>
  <si>
    <t>Borrowing IT terminology, discourse is like the "apps" part of the equation if you consider temple etc. as the infrastructure.</t>
  </si>
  <si>
    <t>https://www.youtube.com/embed/8qjQH_-WzyE?start=345&amp;end=410&amp;autoplay=1</t>
  </si>
  <si>
    <t>https://www.youtube.com/embed/8qjQH_-WzyE?start=411&amp;end=620&amp;autoplay=1</t>
  </si>
  <si>
    <t>https://www.youtube.com/embed/8qjQH_-WzyE?start=621&amp;end=814&amp;autoplay=1</t>
  </si>
  <si>
    <t>https://www.youtube.com/embed/vHWsmGyjOk0?start=0&amp;end=405&amp;autoplay=1</t>
  </si>
  <si>
    <t>RM explains how causes such as the Dravidian identity and Dalit movement have been created and nurtured by vested interests over the years.</t>
  </si>
  <si>
    <t>https://www.youtube.com/embed/-udb2VYB5uo?start=0&amp;end=274&amp;autoplay=1</t>
  </si>
  <si>
    <t>https://www.youtube.com/embed/-udb2VYB5uo?start=275&amp;end=863&amp;autoplay=1</t>
  </si>
  <si>
    <t>The anti-India forces are church based, secular left-wing think tanks, government agencies, and academics in the US and Europe. In India the left is aligned with the right wing Christians as the common goal is to break India.</t>
  </si>
  <si>
    <t>https://www.youtube.com/embed/f-MLHIb4dFU?start=0&amp;end=190&amp;autoplay=1</t>
  </si>
  <si>
    <t>https://www.youtube.com/embed/f-MLHIb4dFU?start=274&amp;end=416&amp;autoplay=1</t>
  </si>
  <si>
    <t>https://www.youtube.com/embed/f-MLHIb4dFU?start=564&amp;end=610&amp;autoplay=1</t>
  </si>
  <si>
    <t>https://www.youtube.com/embed/f-MLHIb4dFU?start=625&amp;end=715&amp;autoplay=1</t>
  </si>
  <si>
    <t>https://www.youtube.com/embed/ByaheAphduQ?start=0&amp;end=450&amp;autoplay=1</t>
  </si>
  <si>
    <t>https://www.youtube.com/embed/ByaheAphduQ?start=535&amp;end=956&amp;autoplay=1</t>
  </si>
  <si>
    <t>https://www.youtube.com/embed/ByaheAphduQ?start=1090&amp;end=1199&amp;autoplay=1</t>
  </si>
  <si>
    <t>https://www.youtube.com/embed/ByaheAphduQ?start=1205&amp;end=1280&amp;autoplay=1</t>
  </si>
  <si>
    <t>https://www.youtube.com/embed/ByaheAphduQ?start=1282&amp;end=1410&amp;autoplay=1</t>
  </si>
  <si>
    <t>https://www.youtube.com/embed/ByaheAphduQ?start=1450&amp;end=1620&amp;autoplay=1</t>
  </si>
  <si>
    <t>https://www.youtube.com/embed/ByaheAphduQ?start=1684&amp;end=1790&amp;autoplay=1</t>
  </si>
  <si>
    <t>https://www.youtube.com/embed/ByaheAphduQ?start=1825&amp;end=1875&amp;autoplay=1</t>
  </si>
  <si>
    <t>A book on Chritian Media in India by Pradip N Thomas</t>
  </si>
  <si>
    <t>https://www.youtube.com/embed/ByaheAphduQ?start=1970&amp;end=2092&amp;autoplay=1</t>
  </si>
  <si>
    <t>https://www.youtube.com/embed/ByaheAphduQ?start=2160&amp;end=2298&amp;autoplay=1</t>
  </si>
  <si>
    <t>https://www.youtube.com/embed/ByaheAphduQ?start=2310&amp;end=2555&amp;autoplay=1</t>
  </si>
  <si>
    <t>https://www.youtube.com/embed/ByaheAphduQ?start=2595&amp;end=2650&amp;autoplay=1</t>
  </si>
  <si>
    <t>https://www.youtube.com/embed/ByaheAphduQ?start=2760&amp;end=2930&amp;autoplay=1</t>
  </si>
  <si>
    <t>https://www.youtube.com/embed/ByaheAphduQ?start=2990&amp;end=3041&amp;autoplay=1</t>
  </si>
  <si>
    <t>https://www.youtube.com/embed/s3LVHHEe2vc?start=252&amp;end=360&amp;autoplay=1</t>
  </si>
  <si>
    <t>https://www.youtube.com/embed/s3LVHHEe2vc?start=435&amp;end=561&amp;autoplay=1</t>
  </si>
  <si>
    <t>https://www.youtube.com/embed/s3LVHHEe2vc?start=730&amp;end=1000&amp;autoplay=1</t>
  </si>
  <si>
    <t>https://www.youtube.com/embed/s3LVHHEe2vc?start=2237&amp;end=2340&amp;autoplay=1</t>
  </si>
  <si>
    <t>https://www.youtube.com/embed/s3LVHHEe2vc?start=2380&amp;end=2475&amp;autoplay=1</t>
  </si>
  <si>
    <t>https://www.youtube.com/embed/s3LVHHEe2vc?start=2475&amp;end=2630&amp;autoplay=1</t>
  </si>
  <si>
    <t>https://www.youtube.com/embed/s3LVHHEe2vc?start=2635&amp;end=2840&amp;autoplay=1</t>
  </si>
  <si>
    <t>https://www.youtube.com/embed/YFmL65VsWdk?start=380&amp;end=410&amp;autoplay=1</t>
  </si>
  <si>
    <t>Prophet is not Rishi, Energy in Shakti, Soul is not Atman, Gym is not Yoga? Civilization and words for something which they have experienced. Prophet does not have experience of unity but rishi has. Prophet is non producable. Rishi potential is with everyone.</t>
  </si>
  <si>
    <t>https://www.youtube.com/embed/YFmL65VsWdk?start=413&amp;end=474&amp;autoplay=1</t>
  </si>
  <si>
    <t>https://www.youtube.com/embed/YFmL65VsWdk?start=614&amp;end=800&amp;autoplay=1</t>
  </si>
  <si>
    <t>https://www.youtube.com/embed/YFmL65VsWdk?start=801&amp;end=950&amp;autoplay=1</t>
  </si>
  <si>
    <t>https://www.youtube.com/embed/YFmL65VsWdk?start=855&amp;end=900&amp;autoplay=1</t>
  </si>
  <si>
    <t>https://www.youtube.com/embed/YFmL65VsWdk?start=905&amp;end=950&amp;autoplay=1</t>
  </si>
  <si>
    <t>https://www.youtube.com/embed/YFmL65VsWdk?start=965&amp;end=1074&amp;autoplay=1</t>
  </si>
  <si>
    <t>https://www.youtube.com/embed/YFmL65VsWdk?start=1575&amp;end=1920&amp;autoplay=1</t>
  </si>
  <si>
    <t>https://www.youtube.com/embed/YFmL65VsWdk?start=1755&amp;end=1866&amp;autoplay=1</t>
  </si>
  <si>
    <t>https://www.youtube.com/embed/YFmL65VsWdk?start=2087&amp;end=2207&amp;autoplay=1</t>
  </si>
  <si>
    <t>https://www.youtube.com/embed/YFmL65VsWdk?start=2525&amp;end=2800&amp;autoplay=1</t>
  </si>
  <si>
    <t>https://www.youtube.com/embed/uDANJcQm-So?start=1194&amp;end=1292&amp;autoplay=1</t>
  </si>
  <si>
    <t>https://www.youtube.com/embed/G3NpQQMh8jQ?start=91&amp;end=240&amp;autoplay=1</t>
  </si>
  <si>
    <t>https://www.youtube.com/embed/G3NpQQMh8jQ?start=241&amp;end=343&amp;autoplay=1</t>
  </si>
  <si>
    <t>https://www.youtube.com/embed/G3NpQQMh8jQ?start=343&amp;end=903&amp;autoplay=1</t>
  </si>
  <si>
    <t>https://www.youtube.com/embed/G3NpQQMh8jQ?start=903&amp;end=1125&amp;autoplay=1</t>
  </si>
  <si>
    <t>https://www.youtube.com/embed/G3NpQQMh8jQ?start=1171&amp;end=1373&amp;autoplay=1</t>
  </si>
  <si>
    <t>https://www.youtube.com/embed/G3NpQQMh8jQ?start=1373&amp;end=1454&amp;autoplay=1</t>
  </si>
  <si>
    <t>https://www.youtube.com/embed/G3NpQQMh8jQ?start=1461&amp;end=1924&amp;autoplay=1</t>
  </si>
  <si>
    <t>https://www.youtube.com/embed/fjD9BVlmPoA?start=904&amp;end=1419&amp;autoplay=1</t>
  </si>
  <si>
    <t>https://www.youtube.com/embed/fjD9BVlmPoA?start=1709&amp;end=1850&amp;autoplay=1</t>
  </si>
  <si>
    <t>https://www.youtube.com/embed/fjD9BVlmPoA?start=2345&amp;end=2440&amp;autoplay=1</t>
  </si>
  <si>
    <t>https://www.youtube.com/embed/fjD9BVlmPoA?start=2450&amp;end=2870&amp;autoplay=1</t>
  </si>
  <si>
    <t>https://www.youtube.com/embed/fjD9BVlmPoA?start=3534&amp;end=3979&amp;autoplay=1</t>
  </si>
  <si>
    <t>https://www.youtube.com/embed/fjD9BVlmPoA?start=4080&amp;end=4270&amp;autoplay=1</t>
  </si>
  <si>
    <t>https://www.youtube.com/embed/fjD9BVlmPoA?start=4510&amp;end=4640&amp;autoplay=1</t>
  </si>
  <si>
    <t>https://www.youtube.com/embed/fjD9BVlmPoA?start=4645&amp;end=4881&amp;autoplay=1</t>
  </si>
  <si>
    <t>https://www.youtube.com/embed/fjD9BVlmPoA?start=4885&amp;end=4930&amp;autoplay=1</t>
  </si>
  <si>
    <t>https://www.youtube.com/embed/fjD9BVlmPoA?start=4940&amp;end=5295&amp;autoplay=1</t>
  </si>
  <si>
    <t>Why we need Hindu Identify 
Will it not create conflict?
No Because we have concept of mutual respect. Other has concept of tolerance. We do not claim exclusivity.
We all are American, why does it matter that we are Hindu, Chinese or Japanese?
America is fine with hyphenated Identify - African American, Native American, British American etc.
hyphenated is fine with Religious Identify - Catholic American, Jews American, American Muslim etc.
As per Advaita Vedanta everything is Maya. So identify is useless. Identify only belongs to Dualistic. So why need Idenity?
In Leela you have identity and you play your role as per Identify.</t>
  </si>
  <si>
    <t>https://www.youtube.com/embed/8RSu4ymCgp4?start=25&amp;end=266&amp;autoplay=1</t>
  </si>
  <si>
    <t>https://www.youtube.com/embed/8RSu4ymCgp4?start=1343&amp;end=1935&amp;autoplay=1</t>
  </si>
  <si>
    <t>https://www.youtube.com/embed/8RSu4ymCgp4?start=1940&amp;end=2005&amp;autoplay=1</t>
  </si>
  <si>
    <t>https://www.youtube.com/embed/8RSu4ymCgp4?start=2010&amp;end=2070&amp;autoplay=1</t>
  </si>
  <si>
    <t>https://www.youtube.com/embed/8RSu4ymCgp4?start=2074&amp;end=2192&amp;autoplay=1</t>
  </si>
  <si>
    <t>https://www.youtube.com/embed/8RSu4ymCgp4?start=2204&amp;end=2330&amp;autoplay=1</t>
  </si>
  <si>
    <t>https://www.youtube.com/embed/8RSu4ymCgp4?start=2335&amp;end=2525&amp;autoplay=1</t>
  </si>
  <si>
    <t>https://www.youtube.com/embed/8RSu4ymCgp4?start=2528&amp;end=2589&amp;autoplay=1</t>
  </si>
  <si>
    <t>U-Trun of Roberto Assagioli</t>
  </si>
  <si>
    <t>https://www.youtube.com/embed/8RSu4ymCgp4?start=2650&amp;end=2770&amp;autoplay=1</t>
  </si>
  <si>
    <t>https://www.youtube.com/embed/8RSu4ymCgp4?start=2780&amp;end=3220&amp;autoplay=1</t>
  </si>
  <si>
    <t>https://www.youtube.com/embed/8RSu4ymCgp4?start=3260&amp;end=3390&amp;autoplay=1</t>
  </si>
  <si>
    <t>https://www.youtube.com/embed/8RSu4ymCgp4?start=3397&amp;end=3570&amp;autoplay=1</t>
  </si>
  <si>
    <t>https://www.youtube.com/embed/8RSu4ymCgp4?start=3578&amp;end=3600&amp;autoplay=1</t>
  </si>
  <si>
    <t>https://www.youtube.com/embed/8RSu4ymCgp4?start=3750&amp;end=4340&amp;autoplay=1</t>
  </si>
  <si>
    <t>https://www.youtube.com/embed/8RSu4ymCgp4?start=4578&amp;end=4690&amp;autoplay=1</t>
  </si>
  <si>
    <t>https://www.youtube.com/embed/8RSu4ymCgp4?start=4700&amp;end=4790&amp;autoplay=1</t>
  </si>
  <si>
    <t>https://www.youtube.com/embed/8RSu4ymCgp4?start=5136&amp;end=5640&amp;autoplay=1</t>
  </si>
  <si>
    <t>https://www.youtube.com/embed/8RSu4ymCgp4?start=6100&amp;end=6184&amp;autoplay=1</t>
  </si>
  <si>
    <t>https://www.youtube.com/embed/8RSu4ymCgp4?start=7105&amp;end=7504&amp;autoplay=1</t>
  </si>
  <si>
    <t>https://www.youtube.com/embed/Vf5BOYF0S3Y?start=1740&amp;end=2000&amp;autoplay=1</t>
  </si>
  <si>
    <t>https://www.youtube.com/embed/Vf5BOYF0S3Y?start=1800&amp;end=1925&amp;autoplay=1</t>
  </si>
  <si>
    <t>https://www.youtube.com/embed/Vf5BOYF0S3Y?start=1855&amp;end=1925&amp;autoplay=1</t>
  </si>
  <si>
    <t>https://www.youtube.com/embed/Vf5BOYF0S3Y?start=1810&amp;end=2430&amp;autoplay=1</t>
  </si>
  <si>
    <t>https://www.youtube.com/embed/Vf5BOYF0S3Y?start=2435&amp;end=2525&amp;autoplay=1</t>
  </si>
  <si>
    <t>https://www.youtube.com/embed/Vf5BOYF0S3Y?start=2530&amp;end=2670&amp;autoplay=1</t>
  </si>
  <si>
    <t>https://www.youtube.com/embed/Vf5BOYF0S3Y?start=2675&amp;end=2870&amp;autoplay=1</t>
  </si>
  <si>
    <t>https://www.youtube.com/embed/Vf5BOYF0S3Y?start=3210&amp;end=3450&amp;autoplay=1</t>
  </si>
  <si>
    <t>https://www.youtube.com/embed/Vf5BOYF0S3Y?start=3600&amp;end=3810&amp;autoplay=1</t>
  </si>
  <si>
    <t>https://www.youtube.com/embed/Vf5BOYF0S3Y?start=3931&amp;end=4110&amp;autoplay=1</t>
  </si>
  <si>
    <t>https://www.youtube.com/embed/Vf5BOYF0S3Y?start=4687&amp;end=4765&amp;autoplay=1</t>
  </si>
  <si>
    <t>https://www.youtube.com/embed/Vf5BOYF0S3Y?start=5217&amp;end=5345&amp;autoplay=1</t>
  </si>
  <si>
    <t>https://www.youtube.com/embed/Vf5BOYF0S3Y?start=5418&amp;end=5600&amp;autoplay=1</t>
  </si>
  <si>
    <t>https://www.youtube.com/embed/Vf5BOYF0S3Y?start=6250&amp;end=6381&amp;autoplay=1</t>
  </si>
  <si>
    <t>https://www.youtube.com/embed/cpZPvFvzNlc?start=0&amp;end=0&amp;autoplay=1</t>
  </si>
  <si>
    <t>Strategy 
Rajiv Malahotra using a strategy of consolidating various questions into one 
0:2:11-&gt;10:20 
Now let us agree that we need an identify 
42:57-&gt;45:56 
What is Hindu Identify &amp; Dilema 
47:00-&gt; 
51:17-&gt;55:17 
57:45-&gt;1:00:01</t>
  </si>
  <si>
    <t>American Identify shifted from English to Christian to White 
- Italian chatholic -&gt; protestant -&gt; christian (journey of catholic assimilation in white) 
- Book: How Irish become white. How Jews became white. 
- America's journey of assimilation. Black were never assimilative. 
- Identity war with gays, muslim, chienese, italian, spanish. Choice in America in not identify less society. 
- Whether I define or I reject my identity, I will be given identity. If I reject they will define my identity. So It is important for me to define my positive identity. 
- Spanish people created their identity based on spanish language 
- Historical societies of America is very important topic to be searched for understanding identity business.</t>
  </si>
  <si>
    <t>https://www.youtube.com/embed/cpZPvFvzNlc?start=618&amp;end=1033&amp;autoplay=1</t>
  </si>
  <si>
    <t>https://www.youtube.com/embed/cpZPvFvzNlc?start=1042&amp;end=1090&amp;autoplay=1</t>
  </si>
  <si>
    <t>https://www.youtube.com/embed/cpZPvFvzNlc?start=1452&amp;end=1546&amp;autoplay=1</t>
  </si>
  <si>
    <t>https://www.youtube.com/embed/cpZPvFvzNlc?start=1663&amp;end=1956&amp;autoplay=1</t>
  </si>
  <si>
    <t>https://www.youtube.com/embed/cpZPvFvzNlc?start=1976&amp;end=2061&amp;autoplay=1</t>
  </si>
  <si>
    <t>https://www.youtube.com/embed/cpZPvFvzNlc?start=2080&amp;end=2222&amp;autoplay=1</t>
  </si>
  <si>
    <t>https://www.youtube.com/embed/cpZPvFvzNlc?start=3602&amp;end=3700&amp;autoplay=1</t>
  </si>
  <si>
    <t>https://www.youtube.com/embed/cpZPvFvzNlc?start=3702&amp;end=3876&amp;autoplay=1</t>
  </si>
  <si>
    <t>https://www.youtube.com/embed/79r5KYH0nBI?start=53&amp;end=136&amp;autoplay=1</t>
  </si>
  <si>
    <t>https://www.youtube.com/embed/79r5KYH0nBI?start=248&amp;end=400&amp;autoplay=1</t>
  </si>
  <si>
    <t>https://www.youtube.com/embed/79r5KYH0nBI?start=408&amp;end=495&amp;autoplay=1</t>
  </si>
  <si>
    <t>https://www.youtube.com/embed/79r5KYH0nBI?start=515&amp;end=798&amp;autoplay=1</t>
  </si>
  <si>
    <t>https://www.youtube.com/embed/79r5KYH0nBI?start=798&amp;end=900&amp;autoplay=1</t>
  </si>
  <si>
    <t>https://www.youtube.com/embed/79r5KYH0nBI?start=943&amp;end=1176&amp;autoplay=1</t>
  </si>
  <si>
    <t>https://www.youtube.com/embed/79r5KYH0nBI?start=1383&amp;end=1672&amp;autoplay=1</t>
  </si>
  <si>
    <t>https://www.youtube.com/embed/79r5KYH0nBI?start=1745&amp;end=2013&amp;autoplay=1</t>
  </si>
  <si>
    <t>https://www.youtube.com/embed/79r5KYH0nBI?start=2100&amp;end=2280&amp;autoplay=1</t>
  </si>
  <si>
    <t>https://www.youtube.com/embed/79r5KYH0nBI?start=2282&amp;end=2513&amp;autoplay=1</t>
  </si>
  <si>
    <t>https://www.youtube.com/embed/79r5KYH0nBI?start=2515&amp;end=2698&amp;autoplay=1</t>
  </si>
  <si>
    <t>https://www.youtube.com/embed/79r5KYH0nBI?start=2700&amp;end=2698&amp;autoplay=1</t>
  </si>
  <si>
    <t>Video Duration</t>
  </si>
  <si>
    <t>Total Sum of Video Duration</t>
  </si>
  <si>
    <t>Sum of Video Duration</t>
  </si>
  <si>
    <t>Total Count of Clip Title</t>
  </si>
  <si>
    <t>Count of Clip Title</t>
  </si>
  <si>
    <t>Video Hrs</t>
  </si>
  <si>
    <t># Videos</t>
  </si>
  <si>
    <t># Clips</t>
  </si>
  <si>
    <t>Remaining</t>
  </si>
  <si>
    <t>As of Today</t>
  </si>
  <si>
    <t>Total Video</t>
  </si>
  <si>
    <t>Total Video Hrs</t>
  </si>
  <si>
    <t>Total # Clip Title</t>
  </si>
  <si>
    <t>Remaining Work</t>
  </si>
  <si>
    <t>Week Duration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</si>
</sst>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d\-mmm\-yy"/>
    <numFmt numFmtId="165" formatCode="hh:mm:ss"/>
    <numFmt numFmtId="166" formatCode="d\ mmm"/>
    <numFmt numFmtId="167" formatCode="dd&quot;-&quot;mmm&quot;-&quot;yy"/>
    <numFmt numFmtId="168" formatCode="0.0"/>
    <numFmt numFmtId="169" formatCode="d&quot;-&quot;mmm&quot;-&quot;yy"/>
    <numFmt numFmtId="170" formatCode="[h]:mm:ss;@"/>
  </numFmts>
  <fonts count="62">
    <font>
      <sz val="11"/>
      <color rgb="FF000000"/>
      <name val="Calibri"/>
    </font>
    <font>
      <sz val="10"/>
      <name val="Arial"/>
    </font>
    <font>
      <sz val="10"/>
      <color rgb="FF000000"/>
      <name val="Arial"/>
    </font>
    <font>
      <sz val="11"/>
      <name val="Calibri"/>
    </font>
    <font>
      <b/>
      <sz val="11"/>
      <name val="Arial"/>
    </font>
    <font>
      <sz val="11"/>
      <name val="Arial"/>
    </font>
    <font>
      <b/>
      <sz val="11"/>
      <name val="Arial"/>
    </font>
    <font>
      <sz val="11"/>
      <color rgb="FF000000"/>
      <name val="Arial"/>
    </font>
    <font>
      <u/>
      <sz val="11"/>
      <color rgb="FF0000FF"/>
      <name val="Calibri"/>
    </font>
    <font>
      <sz val="11"/>
      <name val="Calibri"/>
    </font>
    <font>
      <b/>
      <sz val="14"/>
      <name val="Calibri"/>
    </font>
    <font>
      <u/>
      <sz val="11"/>
      <color rgb="FF0000FF"/>
      <name val="Calibri"/>
    </font>
    <font>
      <sz val="11"/>
      <color rgb="FFFF0000"/>
      <name val="Calibri"/>
    </font>
    <font>
      <sz val="8"/>
      <color rgb="FF000000"/>
      <name val="Arial"/>
    </font>
    <font>
      <u/>
      <sz val="11"/>
      <color rgb="FF0000FF"/>
      <name val="Calibri"/>
    </font>
    <font>
      <u/>
      <sz val="8"/>
      <color rgb="FF0563C1"/>
      <name val="Calibri"/>
    </font>
    <font>
      <u/>
      <sz val="11"/>
      <color rgb="FF000000"/>
      <name val="Calibri"/>
    </font>
    <font>
      <u/>
      <sz val="8"/>
      <color rgb="FF0563C1"/>
      <name val="Calibri"/>
    </font>
    <font>
      <sz val="8"/>
      <name val="Calibri"/>
    </font>
    <font>
      <sz val="11"/>
      <color rgb="FFF3F3F3"/>
      <name val="Calibri"/>
    </font>
    <font>
      <u/>
      <sz val="8"/>
      <color rgb="FF0563C1"/>
      <name val="Calibri"/>
    </font>
    <font>
      <sz val="8"/>
      <name val="Calibri"/>
    </font>
    <font>
      <u/>
      <sz val="10"/>
      <color rgb="FF0563C1"/>
      <name val="Calibri"/>
    </font>
    <font>
      <u/>
      <sz val="8"/>
      <color rgb="FF0563C1"/>
      <name val="Arial"/>
    </font>
    <font>
      <sz val="8"/>
      <color rgb="FFFF0000"/>
      <name val="Arial"/>
    </font>
    <font>
      <u/>
      <sz val="8"/>
      <color rgb="FF0563C1"/>
      <name val="Calibri"/>
    </font>
    <font>
      <u/>
      <sz val="8"/>
      <color rgb="FF0563C1"/>
      <name val="Calibri"/>
    </font>
    <font>
      <u/>
      <sz val="8"/>
      <color rgb="FF0563C1"/>
      <name val="Calibri"/>
    </font>
    <font>
      <u/>
      <sz val="8"/>
      <color rgb="FF000000"/>
      <name val="Arial"/>
    </font>
    <font>
      <sz val="8"/>
      <name val="Arial"/>
    </font>
    <font>
      <u/>
      <sz val="8"/>
      <color rgb="FF0563C1"/>
      <name val="Arial"/>
    </font>
    <font>
      <u/>
      <sz val="8"/>
      <color rgb="FF000000"/>
      <name val="Arial"/>
    </font>
    <font>
      <u/>
      <sz val="8"/>
      <color rgb="FF000000"/>
      <name val="Arial"/>
    </font>
    <font>
      <sz val="8"/>
      <color rgb="FF000000"/>
      <name val="Calibri"/>
    </font>
    <font>
      <sz val="11"/>
      <color rgb="FF000000"/>
      <name val="Arial"/>
    </font>
    <font>
      <u/>
      <sz val="8"/>
      <color rgb="FF0563C1"/>
      <name val="Arial"/>
    </font>
    <font>
      <u/>
      <sz val="8"/>
      <color rgb="FF0563C1"/>
      <name val="Arial"/>
    </font>
    <font>
      <u/>
      <sz val="10"/>
      <color rgb="FF0563C1"/>
      <name val="Arial"/>
    </font>
    <font>
      <u/>
      <sz val="10"/>
      <color rgb="FF0563C1"/>
      <name val="Arial"/>
    </font>
    <font>
      <u/>
      <sz val="10"/>
      <color rgb="FF0563C1"/>
      <name val="Arial"/>
    </font>
    <font>
      <u/>
      <sz val="10"/>
      <color rgb="FF0563C1"/>
      <name val="Arial"/>
    </font>
    <font>
      <u/>
      <sz val="10"/>
      <color rgb="FF0563C1"/>
      <name val="Arial"/>
    </font>
    <font>
      <sz val="10"/>
      <name val="Calibri"/>
    </font>
    <font>
      <sz val="10"/>
      <color rgb="FF000000"/>
      <name val="Calibri"/>
    </font>
    <font>
      <sz val="10"/>
      <name val="Calibri"/>
    </font>
    <font>
      <b/>
      <sz val="10"/>
      <name val="Calibri"/>
    </font>
    <font>
      <u/>
      <sz val="11"/>
      <color theme="10"/>
      <name val="Calibri"/>
    </font>
    <font>
      <b/>
      <sz val="10"/>
      <name val="Arial"/>
    </font>
    <font>
      <sz val="10"/>
      <name val="Arial"/>
    </font>
    <font>
      <sz val="11"/>
      <color rgb="FF000000"/>
      <name val="Calibri"/>
    </font>
    <font>
      <sz val="10"/>
      <color rgb="FF000000"/>
      <name val="Arial"/>
    </font>
    <font>
      <sz val="10"/>
      <color rgb="FF222222"/>
      <name val="Arial"/>
    </font>
    <font>
      <sz val="11"/>
      <name val="Calibri"/>
    </font>
    <font>
      <b/>
      <sz val="10"/>
      <color rgb="FF222222"/>
      <name val="Arial"/>
    </font>
    <font>
      <sz val="8"/>
      <color rgb="FF000000"/>
      <name val="Arial"/>
      <family val="2"/>
    </font>
    <font>
      <sz val="10"/>
      <color rgb="FF000000"/>
      <name val="Arial"/>
      <family val="2"/>
    </font>
    <font>
      <u/>
      <sz val="10"/>
      <color theme="10"/>
      <name val="Calibri"/>
      <family val="2"/>
    </font>
    <font>
      <sz val="10"/>
      <color rgb="FF000000"/>
      <name val="Calibri"/>
      <family val="2"/>
    </font>
    <font>
      <sz val="10"/>
      <color rgb="FFFF0000"/>
      <name val="Arial"/>
      <family val="2"/>
    </font>
    <font>
      <u/>
      <sz val="10"/>
      <color rgb="FF0563C1"/>
      <name val="Arial"/>
      <family val="2"/>
    </font>
    <font>
      <sz val="11"/>
      <color rgb="FF000000"/>
      <name val="Calibri"/>
    </font>
    <font>
      <sz val="11"/>
      <color rgb="FF000000"/>
      <name val="Calibri"/>
      <family val="2"/>
    </font>
  </fonts>
  <fills count="21">
    <fill>
      <patternFill patternType="none"/>
    </fill>
    <fill>
      <patternFill patternType="gray125"/>
    </fill>
    <fill>
      <patternFill patternType="solid">
        <fgColor rgb="FFFFFFFF"/>
        <bgColor rgb="FFFFFFFF"/>
      </patternFill>
    </fill>
    <fill>
      <patternFill patternType="solid">
        <fgColor rgb="FF999999"/>
        <bgColor rgb="FF999999"/>
      </patternFill>
    </fill>
    <fill>
      <patternFill patternType="solid">
        <fgColor rgb="FFFFFF00"/>
        <bgColor rgb="FFFFFF00"/>
      </patternFill>
    </fill>
    <fill>
      <patternFill patternType="solid">
        <fgColor rgb="FF92D050"/>
        <bgColor rgb="FF92D050"/>
      </patternFill>
    </fill>
    <fill>
      <patternFill patternType="solid">
        <fgColor rgb="FF00B0F0"/>
        <bgColor rgb="FF00B0F0"/>
      </patternFill>
    </fill>
    <fill>
      <patternFill patternType="solid">
        <fgColor rgb="FFB4C6E7"/>
        <bgColor rgb="FFB4C6E7"/>
      </patternFill>
    </fill>
    <fill>
      <patternFill patternType="solid">
        <fgColor rgb="FFCC0000"/>
        <bgColor rgb="FFCC0000"/>
      </patternFill>
    </fill>
    <fill>
      <patternFill patternType="solid">
        <fgColor rgb="FFFF0000"/>
        <bgColor rgb="FFFF0000"/>
      </patternFill>
    </fill>
    <fill>
      <patternFill patternType="solid">
        <fgColor rgb="FF1155CC"/>
        <bgColor rgb="FF1155CC"/>
      </patternFill>
    </fill>
    <fill>
      <patternFill patternType="solid">
        <fgColor rgb="FF3C78D8"/>
        <bgColor rgb="FF3C78D8"/>
      </patternFill>
    </fill>
    <fill>
      <patternFill patternType="solid">
        <fgColor rgb="FFCCCCCC"/>
        <bgColor rgb="FFCCCCCC"/>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rgb="FFB4C6E7"/>
        <bgColor indexed="64"/>
      </patternFill>
    </fill>
    <fill>
      <patternFill patternType="solid">
        <fgColor rgb="FF1155CC"/>
        <bgColor indexed="64"/>
      </patternFill>
    </fill>
    <fill>
      <patternFill patternType="solid">
        <fgColor rgb="FFFFFFFF"/>
        <bgColor indexed="64"/>
      </patternFill>
    </fill>
    <fill>
      <patternFill patternType="solid">
        <fgColor rgb="FF3C78D8"/>
        <bgColor indexed="64"/>
      </patternFill>
    </fill>
    <fill>
      <patternFill patternType="solid">
        <fgColor theme="0" tint="-4.9989318521683403E-2"/>
        <bgColor indexed="64"/>
      </patternFill>
    </fill>
  </fills>
  <borders count="6">
    <border>
      <left/>
      <right/>
      <top/>
      <bottom/>
      <diagonal/>
    </border>
    <border>
      <left/>
      <right/>
      <top/>
      <bottom/>
      <diagonal/>
    </border>
    <border>
      <left/>
      <right/>
      <top/>
      <bottom/>
      <diagonal/>
    </border>
    <border>
      <left/>
      <right/>
      <top/>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6" fillId="0" borderId="0" applyNumberFormat="0" applyFill="0" applyBorder="0" applyAlignment="0" applyProtection="0"/>
  </cellStyleXfs>
  <cellXfs count="263">
    <xf numFmtId="0" fontId="0" fillId="0" borderId="0" xfId="0" applyFont="1" applyAlignment="1"/>
    <xf numFmtId="0" fontId="1" fillId="0" borderId="0" xfId="0" applyFont="1" applyAlignment="1"/>
    <xf numFmtId="0" fontId="2" fillId="2" borderId="0" xfId="0" applyFont="1" applyFill="1" applyAlignment="1"/>
    <xf numFmtId="0" fontId="3" fillId="0" borderId="0" xfId="0" applyFont="1" applyAlignment="1"/>
    <xf numFmtId="0" fontId="1" fillId="0" borderId="0" xfId="0" applyFont="1"/>
    <xf numFmtId="0" fontId="0" fillId="0" borderId="0" xfId="0" applyFont="1" applyAlignment="1"/>
    <xf numFmtId="0" fontId="4" fillId="0" borderId="0" xfId="0" applyFont="1" applyAlignment="1"/>
    <xf numFmtId="0" fontId="5" fillId="0" borderId="0" xfId="0" applyFont="1" applyAlignment="1"/>
    <xf numFmtId="0" fontId="6" fillId="0" borderId="0" xfId="0" applyFont="1" applyAlignment="1"/>
    <xf numFmtId="0" fontId="7" fillId="0" borderId="0" xfId="0" applyFont="1" applyAlignment="1"/>
    <xf numFmtId="0" fontId="3" fillId="0" borderId="0" xfId="0" applyFont="1" applyAlignment="1">
      <alignment vertical="top"/>
    </xf>
    <xf numFmtId="0" fontId="7" fillId="0" borderId="0" xfId="0" applyFont="1" applyAlignment="1"/>
    <xf numFmtId="0" fontId="7" fillId="2" borderId="0" xfId="0" applyFont="1" applyFill="1" applyAlignment="1"/>
    <xf numFmtId="0" fontId="7" fillId="0" borderId="0" xfId="0" applyFont="1" applyAlignment="1"/>
    <xf numFmtId="0" fontId="5" fillId="0" borderId="0" xfId="0" applyFont="1" applyAlignment="1"/>
    <xf numFmtId="0" fontId="2" fillId="2" borderId="3" xfId="0" applyFont="1" applyFill="1" applyBorder="1" applyAlignment="1"/>
    <xf numFmtId="0" fontId="5" fillId="0" borderId="0" xfId="0" applyFont="1" applyAlignment="1"/>
    <xf numFmtId="0" fontId="5" fillId="0" borderId="0" xfId="0" applyFont="1"/>
    <xf numFmtId="0" fontId="0" fillId="0" borderId="0" xfId="0" applyFont="1" applyAlignment="1"/>
    <xf numFmtId="0" fontId="8" fillId="0" borderId="0" xfId="0" applyFont="1" applyAlignment="1"/>
    <xf numFmtId="0" fontId="9" fillId="3" borderId="0" xfId="0" applyFont="1" applyFill="1" applyAlignment="1"/>
    <xf numFmtId="0" fontId="9" fillId="0" borderId="0" xfId="0" applyFont="1" applyAlignment="1"/>
    <xf numFmtId="0" fontId="11" fillId="0" borderId="0" xfId="0" applyFont="1" applyAlignment="1"/>
    <xf numFmtId="0" fontId="12" fillId="0" borderId="0" xfId="0" applyFont="1" applyAlignment="1"/>
    <xf numFmtId="0" fontId="9" fillId="0" borderId="0" xfId="0" applyFont="1" applyAlignment="1"/>
    <xf numFmtId="2" fontId="9" fillId="0" borderId="0" xfId="0" applyNumberFormat="1" applyFont="1" applyAlignment="1"/>
    <xf numFmtId="0" fontId="0" fillId="0" borderId="0" xfId="0" applyFont="1" applyAlignment="1"/>
    <xf numFmtId="0" fontId="2" fillId="4" borderId="1" xfId="0" applyFont="1" applyFill="1" applyBorder="1" applyAlignment="1">
      <alignment horizontal="left" wrapText="1"/>
    </xf>
    <xf numFmtId="0" fontId="2" fillId="5" borderId="1" xfId="0" applyFont="1" applyFill="1" applyBorder="1" applyAlignment="1">
      <alignment horizontal="left" wrapText="1"/>
    </xf>
    <xf numFmtId="0" fontId="2" fillId="6" borderId="1" xfId="0" applyFont="1" applyFill="1" applyBorder="1" applyAlignment="1">
      <alignment horizontal="left" wrapText="1"/>
    </xf>
    <xf numFmtId="0" fontId="2" fillId="7" borderId="1" xfId="0" applyFont="1" applyFill="1" applyBorder="1" applyAlignment="1">
      <alignment horizontal="left"/>
    </xf>
    <xf numFmtId="0" fontId="13" fillId="0" borderId="0" xfId="0" applyFont="1" applyAlignment="1">
      <alignment horizontal="left" wrapText="1"/>
    </xf>
    <xf numFmtId="0" fontId="14" fillId="0" borderId="0" xfId="0" applyFont="1" applyAlignment="1">
      <alignment horizontal="left"/>
    </xf>
    <xf numFmtId="0" fontId="15" fillId="4" borderId="0" xfId="0" applyFont="1" applyFill="1" applyAlignment="1">
      <alignment horizontal="center" wrapText="1"/>
    </xf>
    <xf numFmtId="0" fontId="16" fillId="0" borderId="0" xfId="0" applyFont="1" applyAlignment="1">
      <alignment horizontal="left"/>
    </xf>
    <xf numFmtId="0" fontId="17" fillId="5" borderId="0" xfId="0" applyFont="1" applyFill="1" applyAlignment="1">
      <alignment horizontal="left" wrapText="1"/>
    </xf>
    <xf numFmtId="0" fontId="18" fillId="0" borderId="0" xfId="0" applyFont="1" applyAlignment="1">
      <alignment horizontal="left"/>
    </xf>
    <xf numFmtId="0" fontId="13" fillId="0" borderId="0" xfId="0" applyFont="1" applyAlignment="1">
      <alignment horizontal="left"/>
    </xf>
    <xf numFmtId="0" fontId="13" fillId="0" borderId="0" xfId="0" applyFont="1" applyAlignment="1">
      <alignment horizontal="left" wrapText="1"/>
    </xf>
    <xf numFmtId="0" fontId="19" fillId="8" borderId="0" xfId="0" applyFont="1" applyFill="1" applyAlignment="1"/>
    <xf numFmtId="0" fontId="20" fillId="0" borderId="0" xfId="0" applyFont="1" applyAlignment="1">
      <alignment horizontal="left" wrapText="1"/>
    </xf>
    <xf numFmtId="0" fontId="21" fillId="0" borderId="0" xfId="0" applyFont="1" applyAlignment="1">
      <alignment horizontal="left"/>
    </xf>
    <xf numFmtId="165" fontId="13" fillId="9" borderId="1" xfId="0" applyNumberFormat="1" applyFont="1" applyFill="1" applyBorder="1" applyAlignment="1">
      <alignment horizontal="left" wrapText="1"/>
    </xf>
    <xf numFmtId="0" fontId="13" fillId="4" borderId="1" xfId="0" applyFont="1" applyFill="1" applyBorder="1" applyAlignment="1">
      <alignment horizontal="left" wrapText="1"/>
    </xf>
    <xf numFmtId="0" fontId="13" fillId="5" borderId="1" xfId="0" applyFont="1" applyFill="1" applyBorder="1" applyAlignment="1">
      <alignment horizontal="left" wrapText="1"/>
    </xf>
    <xf numFmtId="0" fontId="13" fillId="6" borderId="1" xfId="0" applyFont="1" applyFill="1" applyBorder="1" applyAlignment="1">
      <alignment horizontal="left" wrapText="1"/>
    </xf>
    <xf numFmtId="0" fontId="22" fillId="7" borderId="1" xfId="0" applyFont="1" applyFill="1" applyBorder="1" applyAlignment="1">
      <alignment horizontal="left" wrapText="1"/>
    </xf>
    <xf numFmtId="0" fontId="13" fillId="10" borderId="0" xfId="0" applyFont="1" applyFill="1" applyAlignment="1">
      <alignment horizontal="left" wrapText="1"/>
    </xf>
    <xf numFmtId="0" fontId="13" fillId="0" borderId="0" xfId="0" applyFont="1" applyAlignment="1">
      <alignment horizontal="left" wrapText="1"/>
    </xf>
    <xf numFmtId="0" fontId="13" fillId="0" borderId="0" xfId="0" applyFont="1" applyAlignment="1">
      <alignment horizontal="left" wrapText="1"/>
    </xf>
    <xf numFmtId="0" fontId="3" fillId="0" borderId="0" xfId="0" applyFont="1" applyAlignment="1">
      <alignment horizontal="left"/>
    </xf>
    <xf numFmtId="0" fontId="13" fillId="0" borderId="0" xfId="0" applyFont="1" applyAlignment="1"/>
    <xf numFmtId="0" fontId="13" fillId="4" borderId="0" xfId="0" applyFont="1" applyFill="1" applyAlignment="1"/>
    <xf numFmtId="0" fontId="13" fillId="5" borderId="0" xfId="0" applyFont="1" applyFill="1" applyAlignment="1"/>
    <xf numFmtId="0" fontId="13" fillId="0" borderId="0" xfId="0" applyFont="1" applyAlignment="1"/>
    <xf numFmtId="0" fontId="23" fillId="0" borderId="0" xfId="0" applyFont="1" applyAlignment="1">
      <alignment horizontal="left" vertical="center"/>
    </xf>
    <xf numFmtId="0" fontId="13" fillId="0" borderId="0" xfId="0" applyFont="1" applyAlignment="1">
      <alignment vertical="center"/>
    </xf>
    <xf numFmtId="0" fontId="13" fillId="0" borderId="0" xfId="0" applyFont="1" applyAlignment="1">
      <alignment horizontal="left" vertical="center"/>
    </xf>
    <xf numFmtId="165" fontId="13" fillId="0" borderId="0" xfId="0" applyNumberFormat="1" applyFont="1" applyAlignment="1"/>
    <xf numFmtId="0" fontId="13" fillId="0" borderId="0" xfId="0" applyFont="1" applyAlignment="1">
      <alignment horizontal="right"/>
    </xf>
    <xf numFmtId="15" fontId="13" fillId="0" borderId="0" xfId="0" applyNumberFormat="1" applyFont="1" applyAlignment="1"/>
    <xf numFmtId="0" fontId="13" fillId="5" borderId="0" xfId="0" applyFont="1" applyFill="1" applyAlignment="1"/>
    <xf numFmtId="0" fontId="13" fillId="6" borderId="0" xfId="0" applyFont="1" applyFill="1" applyAlignment="1"/>
    <xf numFmtId="0" fontId="13" fillId="7" borderId="0" xfId="0" applyFont="1" applyFill="1" applyAlignment="1"/>
    <xf numFmtId="0" fontId="13" fillId="10" borderId="0" xfId="0" applyFont="1" applyFill="1" applyAlignment="1"/>
    <xf numFmtId="0" fontId="24" fillId="0" borderId="0" xfId="0" applyFont="1" applyAlignment="1">
      <alignment vertical="center"/>
    </xf>
    <xf numFmtId="0" fontId="25" fillId="0" borderId="0" xfId="0" applyFont="1" applyAlignment="1">
      <alignment horizontal="center" wrapText="1"/>
    </xf>
    <xf numFmtId="0" fontId="26" fillId="0" borderId="0" xfId="0" applyFont="1" applyAlignment="1">
      <alignment horizontal="left" wrapText="1"/>
    </xf>
    <xf numFmtId="0" fontId="27" fillId="0" borderId="0" xfId="0" applyFont="1" applyAlignment="1">
      <alignment horizontal="left" wrapText="1"/>
    </xf>
    <xf numFmtId="0" fontId="13" fillId="4" borderId="0" xfId="0" applyFont="1" applyFill="1" applyAlignment="1"/>
    <xf numFmtId="0" fontId="13" fillId="4" borderId="1" xfId="0" applyFont="1" applyFill="1" applyBorder="1" applyAlignment="1"/>
    <xf numFmtId="0" fontId="13" fillId="5" borderId="1" xfId="0" applyFont="1" applyFill="1" applyBorder="1" applyAlignment="1"/>
    <xf numFmtId="166" fontId="13" fillId="0" borderId="0" xfId="0" applyNumberFormat="1" applyFont="1" applyAlignment="1"/>
    <xf numFmtId="0" fontId="13" fillId="6" borderId="1" xfId="0" applyFont="1" applyFill="1" applyBorder="1" applyAlignment="1"/>
    <xf numFmtId="0" fontId="13" fillId="4" borderId="1" xfId="0" applyFont="1" applyFill="1" applyBorder="1" applyAlignment="1"/>
    <xf numFmtId="0" fontId="13" fillId="7" borderId="1" xfId="0" applyFont="1" applyFill="1" applyBorder="1" applyAlignment="1"/>
    <xf numFmtId="0" fontId="13" fillId="0" borderId="0" xfId="0" applyFont="1" applyAlignment="1">
      <alignment horizontal="left" vertical="center"/>
    </xf>
    <xf numFmtId="21" fontId="13" fillId="0" borderId="0" xfId="0" applyNumberFormat="1" applyFont="1" applyAlignment="1"/>
    <xf numFmtId="0" fontId="13" fillId="10" borderId="0" xfId="0" applyFont="1" applyFill="1" applyAlignment="1"/>
    <xf numFmtId="0" fontId="28" fillId="0" borderId="0" xfId="0" applyFont="1" applyAlignment="1">
      <alignment horizontal="left"/>
    </xf>
    <xf numFmtId="0" fontId="13" fillId="0" borderId="0" xfId="0" applyFont="1" applyAlignment="1">
      <alignment vertical="center"/>
    </xf>
    <xf numFmtId="167" fontId="13" fillId="0" borderId="0" xfId="0" applyNumberFormat="1" applyFont="1" applyAlignment="1"/>
    <xf numFmtId="0" fontId="29" fillId="0" borderId="0" xfId="0" applyFont="1"/>
    <xf numFmtId="0" fontId="13" fillId="7" borderId="0" xfId="0" applyFont="1" applyFill="1" applyAlignment="1"/>
    <xf numFmtId="0" fontId="13" fillId="5" borderId="1" xfId="0" applyFont="1" applyFill="1" applyBorder="1" applyAlignment="1"/>
    <xf numFmtId="0" fontId="24" fillId="10" borderId="0" xfId="0" applyFont="1" applyFill="1" applyAlignment="1">
      <alignment vertical="center"/>
    </xf>
    <xf numFmtId="0" fontId="13" fillId="0" borderId="0" xfId="0" applyFont="1" applyAlignment="1">
      <alignment horizontal="left"/>
    </xf>
    <xf numFmtId="0" fontId="13" fillId="0" borderId="0" xfId="0" applyFont="1" applyAlignment="1">
      <alignment horizontal="right"/>
    </xf>
    <xf numFmtId="0" fontId="29" fillId="0" borderId="0" xfId="0" applyFont="1" applyAlignment="1"/>
    <xf numFmtId="15" fontId="13" fillId="4" borderId="0" xfId="0" applyNumberFormat="1" applyFont="1" applyFill="1" applyAlignment="1"/>
    <xf numFmtId="0" fontId="30" fillId="0" borderId="0" xfId="0" applyFont="1"/>
    <xf numFmtId="0" fontId="29" fillId="0" borderId="0" xfId="0" applyFont="1" applyAlignment="1"/>
    <xf numFmtId="0" fontId="29" fillId="10" borderId="0" xfId="0" applyFont="1" applyFill="1"/>
    <xf numFmtId="0" fontId="31" fillId="0" borderId="0" xfId="0" applyFont="1" applyAlignment="1">
      <alignment vertical="center"/>
    </xf>
    <xf numFmtId="0" fontId="13" fillId="0" borderId="0" xfId="0" applyFont="1" applyAlignment="1"/>
    <xf numFmtId="167" fontId="13" fillId="0" borderId="0" xfId="0" applyNumberFormat="1" applyFont="1" applyAlignment="1"/>
    <xf numFmtId="167" fontId="13" fillId="0" borderId="0" xfId="0" applyNumberFormat="1" applyFont="1" applyAlignment="1"/>
    <xf numFmtId="167" fontId="13" fillId="2" borderId="0" xfId="0" applyNumberFormat="1" applyFont="1" applyFill="1" applyAlignment="1"/>
    <xf numFmtId="167" fontId="13" fillId="0" borderId="0" xfId="0" applyNumberFormat="1" applyFont="1" applyAlignment="1"/>
    <xf numFmtId="167" fontId="13" fillId="2" borderId="0" xfId="0" applyNumberFormat="1" applyFont="1" applyFill="1" applyAlignment="1"/>
    <xf numFmtId="164" fontId="13" fillId="0" borderId="0" xfId="0" applyNumberFormat="1" applyFont="1" applyAlignment="1"/>
    <xf numFmtId="165" fontId="13" fillId="0" borderId="0" xfId="0" applyNumberFormat="1" applyFont="1" applyAlignment="1"/>
    <xf numFmtId="0" fontId="13" fillId="7" borderId="1" xfId="0" applyFont="1" applyFill="1" applyBorder="1" applyAlignment="1"/>
    <xf numFmtId="0" fontId="24" fillId="0" borderId="0" xfId="0" applyFont="1" applyAlignment="1">
      <alignment vertical="center"/>
    </xf>
    <xf numFmtId="15" fontId="13" fillId="4" borderId="1" xfId="0" applyNumberFormat="1" applyFont="1" applyFill="1" applyBorder="1" applyAlignment="1"/>
    <xf numFmtId="2" fontId="13" fillId="0" borderId="0" xfId="0" applyNumberFormat="1" applyFont="1" applyAlignment="1"/>
    <xf numFmtId="0" fontId="32" fillId="0" borderId="0" xfId="0" applyFont="1" applyAlignment="1"/>
    <xf numFmtId="2" fontId="13" fillId="0" borderId="0" xfId="0" applyNumberFormat="1" applyFont="1" applyAlignment="1"/>
    <xf numFmtId="0" fontId="13" fillId="11" borderId="0" xfId="0" applyFont="1" applyFill="1" applyAlignment="1">
      <alignment vertical="center"/>
    </xf>
    <xf numFmtId="21" fontId="13" fillId="0" borderId="0" xfId="0" applyNumberFormat="1" applyFont="1" applyAlignment="1"/>
    <xf numFmtId="0" fontId="33" fillId="0" borderId="0" xfId="0" applyFont="1" applyAlignment="1"/>
    <xf numFmtId="0" fontId="33" fillId="0" borderId="0" xfId="0" applyFont="1" applyAlignment="1"/>
    <xf numFmtId="164" fontId="33" fillId="0" borderId="0" xfId="0" applyNumberFormat="1" applyFont="1" applyAlignment="1"/>
    <xf numFmtId="0" fontId="33" fillId="4" borderId="1" xfId="0" applyFont="1" applyFill="1" applyBorder="1" applyAlignment="1"/>
    <xf numFmtId="0" fontId="33" fillId="5" borderId="1" xfId="0" applyFont="1" applyFill="1" applyBorder="1" applyAlignment="1"/>
    <xf numFmtId="0" fontId="33" fillId="6" borderId="1" xfId="0" applyFont="1" applyFill="1" applyBorder="1" applyAlignment="1"/>
    <xf numFmtId="0" fontId="33" fillId="7" borderId="1" xfId="0" applyFont="1" applyFill="1" applyBorder="1" applyAlignment="1"/>
    <xf numFmtId="0" fontId="33" fillId="10" borderId="0" xfId="0" applyFont="1" applyFill="1" applyAlignment="1"/>
    <xf numFmtId="2" fontId="33" fillId="0" borderId="0" xfId="0" applyNumberFormat="1" applyFont="1" applyAlignment="1"/>
    <xf numFmtId="0" fontId="34" fillId="2" borderId="0" xfId="0" applyFont="1" applyFill="1" applyAlignment="1"/>
    <xf numFmtId="168" fontId="13" fillId="0" borderId="0" xfId="0" applyNumberFormat="1" applyFont="1" applyAlignment="1"/>
    <xf numFmtId="0" fontId="33" fillId="10" borderId="0" xfId="0" applyFont="1" applyFill="1" applyAlignment="1"/>
    <xf numFmtId="0" fontId="13" fillId="2" borderId="0" xfId="0" applyFont="1" applyFill="1" applyAlignment="1"/>
    <xf numFmtId="21" fontId="13" fillId="0" borderId="0" xfId="0" applyNumberFormat="1" applyFont="1" applyAlignment="1"/>
    <xf numFmtId="0" fontId="13" fillId="2" borderId="0" xfId="0" applyFont="1" applyFill="1" applyAlignment="1"/>
    <xf numFmtId="0" fontId="35" fillId="2" borderId="0" xfId="0" applyFont="1" applyFill="1" applyAlignment="1">
      <alignment horizontal="left" vertical="center"/>
    </xf>
    <xf numFmtId="0" fontId="13" fillId="2" borderId="0" xfId="0" applyFont="1" applyFill="1" applyAlignment="1">
      <alignment vertical="center"/>
    </xf>
    <xf numFmtId="0" fontId="13" fillId="2" borderId="0" xfId="0" applyFont="1" applyFill="1" applyAlignment="1">
      <alignment horizontal="left" vertical="center"/>
    </xf>
    <xf numFmtId="165" fontId="13" fillId="2" borderId="0" xfId="0" applyNumberFormat="1" applyFont="1" applyFill="1" applyAlignment="1"/>
    <xf numFmtId="0" fontId="13" fillId="2" borderId="0" xfId="0" applyFont="1" applyFill="1" applyAlignment="1">
      <alignment horizontal="right"/>
    </xf>
    <xf numFmtId="21" fontId="13" fillId="2" borderId="0" xfId="0" applyNumberFormat="1" applyFont="1" applyFill="1" applyAlignment="1"/>
    <xf numFmtId="167" fontId="13" fillId="2" borderId="0" xfId="0" applyNumberFormat="1" applyFont="1" applyFill="1" applyAlignment="1"/>
    <xf numFmtId="0" fontId="13" fillId="2" borderId="0" xfId="0" applyFont="1" applyFill="1" applyAlignment="1">
      <alignment horizontal="left"/>
    </xf>
    <xf numFmtId="0" fontId="3" fillId="2" borderId="0" xfId="0" applyFont="1" applyFill="1"/>
    <xf numFmtId="165" fontId="0" fillId="0" borderId="0" xfId="0" applyNumberFormat="1" applyFont="1" applyAlignment="1"/>
    <xf numFmtId="0" fontId="13" fillId="0" borderId="0" xfId="0" applyFont="1" applyAlignment="1">
      <alignment horizontal="right" vertical="center"/>
    </xf>
    <xf numFmtId="169" fontId="13" fillId="0" borderId="0" xfId="0" applyNumberFormat="1" applyFont="1" applyAlignment="1"/>
    <xf numFmtId="0" fontId="36" fillId="0" borderId="0" xfId="0" applyFont="1" applyAlignment="1">
      <alignment horizontal="left" vertical="center"/>
    </xf>
    <xf numFmtId="0" fontId="3" fillId="10" borderId="0" xfId="0" applyFont="1" applyFill="1"/>
    <xf numFmtId="0" fontId="33" fillId="0" borderId="0" xfId="0" applyFont="1" applyAlignment="1">
      <alignment horizontal="left"/>
    </xf>
    <xf numFmtId="167" fontId="13" fillId="4" borderId="0" xfId="0" applyNumberFormat="1" applyFont="1" applyFill="1" applyAlignment="1"/>
    <xf numFmtId="167" fontId="13" fillId="5" borderId="0" xfId="0" applyNumberFormat="1" applyFont="1" applyFill="1" applyAlignment="1"/>
    <xf numFmtId="21" fontId="33" fillId="0" borderId="0" xfId="0" applyNumberFormat="1" applyFont="1" applyAlignment="1"/>
    <xf numFmtId="0" fontId="0" fillId="0" borderId="0" xfId="0" applyFont="1" applyAlignment="1"/>
    <xf numFmtId="0" fontId="2" fillId="12" borderId="0" xfId="0" applyFont="1" applyFill="1" applyAlignment="1">
      <alignment horizontal="left" wrapText="1"/>
    </xf>
    <xf numFmtId="0" fontId="37" fillId="12" borderId="0" xfId="0" applyFont="1" applyFill="1" applyAlignment="1">
      <alignment horizontal="center" wrapText="1"/>
    </xf>
    <xf numFmtId="0" fontId="38" fillId="12" borderId="0" xfId="0" applyFont="1" applyFill="1" applyAlignment="1">
      <alignment horizontal="left" wrapText="1"/>
    </xf>
    <xf numFmtId="0" fontId="1" fillId="12" borderId="0" xfId="0" applyFont="1" applyFill="1" applyAlignment="1">
      <alignment horizontal="left"/>
    </xf>
    <xf numFmtId="0" fontId="2" fillId="12" borderId="0" xfId="0" applyFont="1" applyFill="1" applyAlignment="1">
      <alignment horizontal="left"/>
    </xf>
    <xf numFmtId="0" fontId="2" fillId="12" borderId="0" xfId="0" applyFont="1" applyFill="1" applyAlignment="1">
      <alignment horizontal="left" wrapText="1"/>
    </xf>
    <xf numFmtId="0" fontId="39" fillId="12" borderId="0" xfId="0" applyFont="1" applyFill="1" applyAlignment="1">
      <alignment horizontal="left" wrapText="1"/>
    </xf>
    <xf numFmtId="0" fontId="1" fillId="12" borderId="0" xfId="0" applyFont="1" applyFill="1" applyAlignment="1">
      <alignment horizontal="left"/>
    </xf>
    <xf numFmtId="165" fontId="2" fillId="12" borderId="1" xfId="0" applyNumberFormat="1" applyFont="1" applyFill="1" applyBorder="1" applyAlignment="1">
      <alignment horizontal="left" wrapText="1"/>
    </xf>
    <xf numFmtId="0" fontId="2" fillId="12" borderId="1" xfId="0" applyFont="1" applyFill="1" applyBorder="1" applyAlignment="1">
      <alignment horizontal="left" wrapText="1"/>
    </xf>
    <xf numFmtId="0" fontId="40" fillId="12" borderId="1" xfId="0" applyFont="1" applyFill="1" applyBorder="1" applyAlignment="1">
      <alignment horizontal="left" wrapText="1"/>
    </xf>
    <xf numFmtId="0" fontId="2" fillId="12" borderId="0" xfId="0" applyFont="1" applyFill="1" applyAlignment="1">
      <alignment horizontal="left" wrapText="1"/>
    </xf>
    <xf numFmtId="0" fontId="2" fillId="12" borderId="0" xfId="0" applyFont="1" applyFill="1" applyAlignment="1">
      <alignment horizontal="left" wrapText="1"/>
    </xf>
    <xf numFmtId="0" fontId="1" fillId="12" borderId="0" xfId="0" applyFont="1" applyFill="1" applyAlignment="1">
      <alignment horizontal="left"/>
    </xf>
    <xf numFmtId="0" fontId="1" fillId="0" borderId="0" xfId="0" applyFont="1" applyAlignment="1">
      <alignment horizontal="left"/>
    </xf>
    <xf numFmtId="0" fontId="2" fillId="0" borderId="0" xfId="0" applyFont="1" applyAlignment="1"/>
    <xf numFmtId="0" fontId="2" fillId="0" borderId="0" xfId="0" applyFont="1" applyAlignment="1">
      <alignment horizontal="left"/>
    </xf>
    <xf numFmtId="0" fontId="2" fillId="4" borderId="1" xfId="0" applyFont="1" applyFill="1" applyBorder="1" applyAlignment="1"/>
    <xf numFmtId="0" fontId="2" fillId="5" borderId="1" xfId="0" applyFont="1" applyFill="1" applyBorder="1" applyAlignment="1"/>
    <xf numFmtId="0" fontId="2" fillId="6" borderId="1" xfId="0" applyFont="1" applyFill="1" applyBorder="1" applyAlignment="1"/>
    <xf numFmtId="0" fontId="2" fillId="7" borderId="1" xfId="0" applyFont="1" applyFill="1" applyBorder="1" applyAlignment="1"/>
    <xf numFmtId="0" fontId="2" fillId="10" borderId="0" xfId="0" applyFont="1" applyFill="1" applyAlignment="1"/>
    <xf numFmtId="0" fontId="0" fillId="4" borderId="0" xfId="0" applyFont="1" applyFill="1" applyAlignment="1"/>
    <xf numFmtId="0" fontId="2" fillId="0" borderId="0" xfId="0" applyFont="1" applyAlignment="1"/>
    <xf numFmtId="0" fontId="0" fillId="4" borderId="0" xfId="0" applyFont="1" applyFill="1" applyAlignment="1"/>
    <xf numFmtId="0" fontId="0" fillId="5" borderId="0" xfId="0" applyFont="1" applyFill="1" applyAlignment="1"/>
    <xf numFmtId="0" fontId="0" fillId="6" borderId="0" xfId="0" applyFont="1" applyFill="1" applyAlignment="1"/>
    <xf numFmtId="0" fontId="41" fillId="0" borderId="0" xfId="0" applyFont="1" applyAlignment="1">
      <alignment horizontal="left" vertical="center"/>
    </xf>
    <xf numFmtId="0" fontId="0" fillId="7" borderId="0" xfId="0" applyFont="1" applyFill="1" applyAlignment="1"/>
    <xf numFmtId="0" fontId="42" fillId="0" borderId="0" xfId="0" applyFont="1"/>
    <xf numFmtId="0" fontId="0" fillId="10" borderId="0" xfId="0" applyFont="1" applyFill="1" applyAlignment="1"/>
    <xf numFmtId="0" fontId="2" fillId="0" borderId="0" xfId="0" applyFont="1" applyAlignment="1">
      <alignment vertical="center"/>
    </xf>
    <xf numFmtId="0" fontId="2" fillId="0" borderId="0" xfId="0" applyFont="1" applyAlignment="1">
      <alignment horizontal="left" vertical="center"/>
    </xf>
    <xf numFmtId="165" fontId="2" fillId="0" borderId="0" xfId="0" applyNumberFormat="1" applyFont="1" applyAlignment="1"/>
    <xf numFmtId="0" fontId="2" fillId="0" borderId="0" xfId="0" applyFont="1" applyAlignment="1">
      <alignment horizontal="right"/>
    </xf>
    <xf numFmtId="20" fontId="2" fillId="0" borderId="0" xfId="0" applyNumberFormat="1" applyFont="1" applyAlignment="1"/>
    <xf numFmtId="0" fontId="0" fillId="6" borderId="0" xfId="0" applyFont="1" applyFill="1" applyAlignment="1"/>
    <xf numFmtId="0" fontId="2" fillId="4" borderId="0" xfId="0" applyFont="1" applyFill="1" applyAlignment="1"/>
    <xf numFmtId="0" fontId="2" fillId="5" borderId="0" xfId="0" applyFont="1" applyFill="1" applyAlignment="1"/>
    <xf numFmtId="0" fontId="2" fillId="6" borderId="0" xfId="0" applyFont="1" applyFill="1" applyAlignment="1"/>
    <xf numFmtId="0" fontId="2" fillId="7" borderId="0" xfId="0" applyFont="1" applyFill="1" applyAlignment="1"/>
    <xf numFmtId="46" fontId="2" fillId="0" borderId="0" xfId="0" applyNumberFormat="1" applyFont="1" applyAlignment="1"/>
    <xf numFmtId="0" fontId="42" fillId="0" borderId="0" xfId="0" applyFont="1" applyAlignment="1"/>
    <xf numFmtId="0" fontId="2" fillId="4" borderId="0" xfId="0" applyFont="1" applyFill="1" applyAlignment="1"/>
    <xf numFmtId="0" fontId="2" fillId="0" borderId="0" xfId="0" applyFont="1" applyAlignment="1">
      <alignment vertical="center"/>
    </xf>
    <xf numFmtId="0" fontId="43" fillId="0" borderId="0" xfId="0" applyFont="1" applyAlignment="1"/>
    <xf numFmtId="0" fontId="44" fillId="0" borderId="0" xfId="0" applyFont="1" applyAlignment="1">
      <alignment horizontal="left"/>
    </xf>
    <xf numFmtId="0" fontId="33" fillId="4" borderId="0" xfId="0" applyFont="1" applyFill="1" applyAlignment="1"/>
    <xf numFmtId="0" fontId="33" fillId="5" borderId="0" xfId="0" applyFont="1" applyFill="1" applyAlignment="1"/>
    <xf numFmtId="0" fontId="33" fillId="6" borderId="0" xfId="0" applyFont="1" applyFill="1" applyAlignment="1"/>
    <xf numFmtId="0" fontId="33" fillId="7" borderId="0" xfId="0" applyFont="1" applyFill="1" applyAlignment="1"/>
    <xf numFmtId="0" fontId="45" fillId="0" borderId="0" xfId="0" applyFont="1" applyAlignment="1">
      <alignment horizontal="left"/>
    </xf>
    <xf numFmtId="0" fontId="47" fillId="0" borderId="0" xfId="0" applyFont="1" applyAlignment="1"/>
    <xf numFmtId="0" fontId="48" fillId="0" borderId="0" xfId="0" applyFont="1" applyAlignment="1"/>
    <xf numFmtId="0" fontId="49" fillId="0" borderId="0" xfId="0" applyFont="1" applyAlignment="1"/>
    <xf numFmtId="0" fontId="50" fillId="2" borderId="1" xfId="0" applyFont="1" applyFill="1" applyBorder="1" applyAlignment="1"/>
    <xf numFmtId="0" fontId="51" fillId="2" borderId="0" xfId="0" applyFont="1" applyFill="1" applyAlignment="1">
      <alignment horizontal="left"/>
    </xf>
    <xf numFmtId="0" fontId="50" fillId="2" borderId="0" xfId="0" applyFont="1" applyFill="1" applyAlignment="1"/>
    <xf numFmtId="0" fontId="52" fillId="0" borderId="0" xfId="0" applyFont="1" applyAlignment="1"/>
    <xf numFmtId="0" fontId="51" fillId="2" borderId="1" xfId="0" applyFont="1" applyFill="1" applyBorder="1" applyAlignment="1"/>
    <xf numFmtId="0" fontId="48" fillId="0" borderId="0" xfId="0" applyFont="1" applyAlignment="1">
      <alignment horizontal="right"/>
    </xf>
    <xf numFmtId="0" fontId="48" fillId="0" borderId="2" xfId="0" applyFont="1" applyBorder="1" applyAlignment="1"/>
    <xf numFmtId="0" fontId="48" fillId="0" borderId="0" xfId="0" applyFont="1"/>
    <xf numFmtId="0" fontId="50" fillId="0" borderId="0" xfId="0" applyFont="1" applyAlignment="1"/>
    <xf numFmtId="0" fontId="53" fillId="2" borderId="0" xfId="0" applyFont="1" applyFill="1" applyAlignment="1">
      <alignment horizontal="left"/>
    </xf>
    <xf numFmtId="0" fontId="53" fillId="2" borderId="0" xfId="0" applyFont="1" applyFill="1" applyAlignment="1"/>
    <xf numFmtId="0" fontId="51" fillId="2" borderId="0" xfId="0" applyFont="1" applyFill="1" applyAlignment="1"/>
    <xf numFmtId="164" fontId="48" fillId="0" borderId="0" xfId="0" applyNumberFormat="1" applyFont="1" applyAlignment="1"/>
    <xf numFmtId="0" fontId="0" fillId="0" borderId="0" xfId="0" pivotButton="1" applyFont="1" applyAlignment="1"/>
    <xf numFmtId="0" fontId="0" fillId="0" borderId="0" xfId="0" applyFont="1" applyAlignment="1">
      <alignment horizontal="left"/>
    </xf>
    <xf numFmtId="0" fontId="54" fillId="0" borderId="0" xfId="0" applyFont="1" applyAlignment="1"/>
    <xf numFmtId="0" fontId="0" fillId="0" borderId="0" xfId="0" applyFont="1" applyAlignment="1">
      <alignment wrapText="1"/>
    </xf>
    <xf numFmtId="0" fontId="55" fillId="0" borderId="4" xfId="0" applyFont="1" applyBorder="1" applyAlignment="1"/>
    <xf numFmtId="0" fontId="56" fillId="0" borderId="4" xfId="1" applyFont="1" applyBorder="1" applyAlignment="1">
      <alignment horizontal="center"/>
    </xf>
    <xf numFmtId="0" fontId="56" fillId="0" borderId="4" xfId="1" applyFont="1" applyBorder="1" applyAlignment="1"/>
    <xf numFmtId="0" fontId="57" fillId="0" borderId="4" xfId="0" applyFont="1" applyBorder="1" applyAlignment="1"/>
    <xf numFmtId="0" fontId="55" fillId="13" borderId="4" xfId="0" applyFont="1" applyFill="1" applyBorder="1" applyAlignment="1"/>
    <xf numFmtId="0" fontId="55" fillId="14" borderId="4" xfId="0" applyFont="1" applyFill="1" applyBorder="1" applyAlignment="1"/>
    <xf numFmtId="0" fontId="55" fillId="15" borderId="4" xfId="0" applyFont="1" applyFill="1" applyBorder="1" applyAlignment="1"/>
    <xf numFmtId="0" fontId="56" fillId="16" borderId="4" xfId="1" applyFont="1" applyFill="1" applyBorder="1" applyAlignment="1"/>
    <xf numFmtId="0" fontId="55" fillId="17" borderId="4" xfId="0" applyFont="1" applyFill="1" applyBorder="1" applyAlignment="1"/>
    <xf numFmtId="0" fontId="55" fillId="0" borderId="4" xfId="0" applyFont="1" applyBorder="1" applyAlignment="1">
      <alignment horizontal="right"/>
    </xf>
    <xf numFmtId="0" fontId="56" fillId="0" borderId="4" xfId="1" applyFont="1" applyBorder="1" applyAlignment="1">
      <alignment vertical="center"/>
    </xf>
    <xf numFmtId="0" fontId="55" fillId="0" borderId="4" xfId="0" applyFont="1" applyBorder="1" applyAlignment="1">
      <alignment vertical="center"/>
    </xf>
    <xf numFmtId="21" fontId="55" fillId="0" borderId="4" xfId="0" applyNumberFormat="1" applyFont="1" applyBorder="1" applyAlignment="1">
      <alignment horizontal="right"/>
    </xf>
    <xf numFmtId="15" fontId="55" fillId="0" borderId="4" xfId="0" applyNumberFormat="1" applyFont="1" applyBorder="1" applyAlignment="1">
      <alignment horizontal="right"/>
    </xf>
    <xf numFmtId="0" fontId="57" fillId="14" borderId="4" xfId="0" applyFont="1" applyFill="1" applyBorder="1" applyAlignment="1"/>
    <xf numFmtId="0" fontId="57" fillId="15" borderId="4" xfId="0" applyFont="1" applyFill="1" applyBorder="1" applyAlignment="1"/>
    <xf numFmtId="0" fontId="55" fillId="16" borderId="4" xfId="0" applyFont="1" applyFill="1" applyBorder="1" applyAlignment="1"/>
    <xf numFmtId="0" fontId="57" fillId="17" borderId="4" xfId="0" applyFont="1" applyFill="1" applyBorder="1" applyAlignment="1"/>
    <xf numFmtId="0" fontId="58" fillId="0" borderId="4" xfId="0" applyFont="1" applyBorder="1" applyAlignment="1">
      <alignment vertical="center"/>
    </xf>
    <xf numFmtId="0" fontId="59" fillId="0" borderId="4" xfId="0" applyFont="1" applyBorder="1" applyAlignment="1">
      <alignment vertical="center"/>
    </xf>
    <xf numFmtId="0" fontId="55" fillId="0" borderId="4" xfId="0" applyFont="1" applyBorder="1" applyAlignment="1">
      <alignment horizontal="right" vertical="center"/>
    </xf>
    <xf numFmtId="0" fontId="57" fillId="17" borderId="4" xfId="0" applyFont="1" applyFill="1" applyBorder="1" applyAlignment="1">
      <alignment vertical="center"/>
    </xf>
    <xf numFmtId="0" fontId="57" fillId="0" borderId="4" xfId="0" applyFont="1" applyBorder="1" applyAlignment="1">
      <alignment vertical="center"/>
    </xf>
    <xf numFmtId="15" fontId="55" fillId="18" borderId="4" xfId="0" applyNumberFormat="1" applyFont="1" applyFill="1" applyBorder="1" applyAlignment="1">
      <alignment horizontal="right"/>
    </xf>
    <xf numFmtId="0" fontId="57" fillId="13" borderId="4" xfId="0" applyFont="1" applyFill="1" applyBorder="1" applyAlignment="1"/>
    <xf numFmtId="0" fontId="55" fillId="18" borderId="4" xfId="0" applyFont="1" applyFill="1" applyBorder="1" applyAlignment="1"/>
    <xf numFmtId="0" fontId="57" fillId="16" borderId="4" xfId="0" applyFont="1" applyFill="1" applyBorder="1" applyAlignment="1"/>
    <xf numFmtId="15" fontId="57" fillId="0" borderId="4" xfId="0" applyNumberFormat="1" applyFont="1" applyBorder="1" applyAlignment="1">
      <alignment horizontal="right"/>
    </xf>
    <xf numFmtId="0" fontId="57" fillId="0" borderId="4" xfId="0" applyFont="1" applyBorder="1" applyAlignment="1">
      <alignment horizontal="right"/>
    </xf>
    <xf numFmtId="0" fontId="55" fillId="19" borderId="4" xfId="0" applyFont="1" applyFill="1" applyBorder="1" applyAlignment="1">
      <alignment vertical="center"/>
    </xf>
    <xf numFmtId="21" fontId="57" fillId="0" borderId="4" xfId="0" applyNumberFormat="1" applyFont="1" applyBorder="1" applyAlignment="1">
      <alignment horizontal="right"/>
    </xf>
    <xf numFmtId="0" fontId="0" fillId="0" borderId="0" xfId="0" pivotButton="1" applyFont="1" applyAlignment="1">
      <alignment wrapText="1"/>
    </xf>
    <xf numFmtId="0" fontId="0" fillId="0" borderId="0" xfId="0" applyNumberFormat="1" applyFont="1" applyAlignment="1">
      <alignment wrapText="1"/>
    </xf>
    <xf numFmtId="170" fontId="0" fillId="0" borderId="0" xfId="0" applyNumberFormat="1" applyFont="1" applyAlignment="1">
      <alignment wrapText="1"/>
    </xf>
    <xf numFmtId="0" fontId="4" fillId="0" borderId="0" xfId="0" applyFont="1" applyAlignment="1">
      <alignment horizontal="center"/>
    </xf>
    <xf numFmtId="0" fontId="0" fillId="0" borderId="0" xfId="0" applyFont="1" applyAlignment="1"/>
    <xf numFmtId="0" fontId="10" fillId="3" borderId="0" xfId="0" applyFont="1" applyFill="1" applyAlignment="1"/>
    <xf numFmtId="0" fontId="60" fillId="0" borderId="5" xfId="0" applyFont="1" applyBorder="1" applyAlignment="1"/>
    <xf numFmtId="0" fontId="61" fillId="0" borderId="5" xfId="0" applyFont="1" applyBorder="1" applyAlignment="1">
      <alignment horizontal="center"/>
    </xf>
    <xf numFmtId="0" fontId="60" fillId="0" borderId="0" xfId="0" applyFont="1" applyAlignment="1"/>
    <xf numFmtId="0" fontId="60" fillId="0" borderId="5" xfId="0" applyFont="1" applyBorder="1" applyAlignment="1">
      <alignment horizontal="center"/>
    </xf>
    <xf numFmtId="0" fontId="60" fillId="20" borderId="5" xfId="0" applyFont="1" applyFill="1" applyBorder="1" applyAlignment="1">
      <alignment horizontal="center"/>
    </xf>
    <xf numFmtId="0" fontId="61" fillId="0" borderId="5" xfId="0" applyFont="1" applyBorder="1" applyAlignment="1"/>
    <xf numFmtId="0" fontId="61" fillId="20" borderId="5" xfId="0" applyFont="1" applyFill="1" applyBorder="1" applyAlignment="1"/>
    <xf numFmtId="170" fontId="60" fillId="0" borderId="5" xfId="0" applyNumberFormat="1" applyFont="1" applyBorder="1" applyAlignment="1"/>
    <xf numFmtId="0" fontId="60" fillId="20" borderId="5" xfId="0" applyFont="1" applyFill="1" applyBorder="1" applyAlignment="1"/>
    <xf numFmtId="170" fontId="60" fillId="20" borderId="5" xfId="0" applyNumberFormat="1" applyFont="1" applyFill="1" applyBorder="1" applyAlignment="1"/>
  </cellXfs>
  <cellStyles count="2">
    <cellStyle name="Hyperlink" xfId="1" builtinId="8"/>
    <cellStyle name="Normal" xfId="0" builtinId="0"/>
  </cellStyles>
  <dxfs count="13">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14</xdr:col>
      <xdr:colOff>485775</xdr:colOff>
      <xdr:row>48</xdr:row>
      <xdr:rowOff>0</xdr:rowOff>
    </xdr:to>
    <xdr:sp macro="" textlink="">
      <xdr:nvSpPr>
        <xdr:cNvPr id="12290" name="Text Box 2" hidden="1">
          <a:extLst>
            <a:ext uri="{FF2B5EF4-FFF2-40B4-BE49-F238E27FC236}">
              <a16:creationId xmlns:a16="http://schemas.microsoft.com/office/drawing/2014/main" id="{E5FA7DD1-E988-4FC3-9298-4025BBBC1134}"/>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485775</xdr:colOff>
      <xdr:row>48</xdr:row>
      <xdr:rowOff>0</xdr:rowOff>
    </xdr:to>
    <xdr:sp macro="" textlink="">
      <xdr:nvSpPr>
        <xdr:cNvPr id="2" name="AutoShape 2">
          <a:extLst>
            <a:ext uri="{FF2B5EF4-FFF2-40B4-BE49-F238E27FC236}">
              <a16:creationId xmlns:a16="http://schemas.microsoft.com/office/drawing/2014/main" id="{56D0DFB1-3C68-4E92-8820-6D97CA121F9A}"/>
            </a:ext>
          </a:extLst>
        </xdr:cNvPr>
        <xdr:cNvSpPr>
          <a:spLocks noChangeArrowheads="1"/>
        </xdr:cNvSpPr>
      </xdr:nvSpPr>
      <xdr:spPr bwMode="auto">
        <a:xfrm>
          <a:off x="0" y="0"/>
          <a:ext cx="9525000" cy="9972675"/>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247650</xdr:colOff>
      <xdr:row>50</xdr:row>
      <xdr:rowOff>0</xdr:rowOff>
    </xdr:to>
    <xdr:sp macro="" textlink="">
      <xdr:nvSpPr>
        <xdr:cNvPr id="1027" name="Text Box 3" hidden="1">
          <a:extLst>
            <a:ext uri="{FF2B5EF4-FFF2-40B4-BE49-F238E27FC236}">
              <a16:creationId xmlns:a16="http://schemas.microsoft.com/office/drawing/2014/main" id="{0C877C61-FA90-4439-B31D-7FA230AD929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247650</xdr:colOff>
      <xdr:row>50</xdr:row>
      <xdr:rowOff>0</xdr:rowOff>
    </xdr:to>
    <xdr:sp macro="" textlink="">
      <xdr:nvSpPr>
        <xdr:cNvPr id="2" name="AutoShape 3">
          <a:extLst>
            <a:ext uri="{FF2B5EF4-FFF2-40B4-BE49-F238E27FC236}">
              <a16:creationId xmlns:a16="http://schemas.microsoft.com/office/drawing/2014/main" id="{FEAA0ACE-2F6E-4D92-AB37-3381D935B72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14</xdr:col>
      <xdr:colOff>66675</xdr:colOff>
      <xdr:row>48</xdr:row>
      <xdr:rowOff>0</xdr:rowOff>
    </xdr:to>
    <xdr:sp macro="" textlink="">
      <xdr:nvSpPr>
        <xdr:cNvPr id="6146" name="Text Box 2" hidden="1">
          <a:extLst>
            <a:ext uri="{FF2B5EF4-FFF2-40B4-BE49-F238E27FC236}">
              <a16:creationId xmlns:a16="http://schemas.microsoft.com/office/drawing/2014/main" id="{8C088737-E851-45A8-8F6F-C803D1BFABA3}"/>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66675</xdr:colOff>
      <xdr:row>48</xdr:row>
      <xdr:rowOff>0</xdr:rowOff>
    </xdr:to>
    <xdr:sp macro="" textlink="">
      <xdr:nvSpPr>
        <xdr:cNvPr id="2" name="AutoShape 2">
          <a:extLst>
            <a:ext uri="{FF2B5EF4-FFF2-40B4-BE49-F238E27FC236}">
              <a16:creationId xmlns:a16="http://schemas.microsoft.com/office/drawing/2014/main" id="{65D8411D-1148-422B-9355-B78507FC0C7A}"/>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285750</xdr:colOff>
      <xdr:row>48</xdr:row>
      <xdr:rowOff>0</xdr:rowOff>
    </xdr:to>
    <xdr:sp macro="" textlink="">
      <xdr:nvSpPr>
        <xdr:cNvPr id="2050" name="Text Box 2" hidden="1">
          <a:extLst>
            <a:ext uri="{FF2B5EF4-FFF2-40B4-BE49-F238E27FC236}">
              <a16:creationId xmlns:a16="http://schemas.microsoft.com/office/drawing/2014/main" id="{0088B87D-8BA7-4109-A140-1ACFD707423F}"/>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285750</xdr:colOff>
      <xdr:row>48</xdr:row>
      <xdr:rowOff>0</xdr:rowOff>
    </xdr:to>
    <xdr:sp macro="" textlink="">
      <xdr:nvSpPr>
        <xdr:cNvPr id="2" name="AutoShape 2">
          <a:extLst>
            <a:ext uri="{FF2B5EF4-FFF2-40B4-BE49-F238E27FC236}">
              <a16:creationId xmlns:a16="http://schemas.microsoft.com/office/drawing/2014/main" id="{4D716BB9-C358-49DE-B0F3-5B7024F5BF01}"/>
            </a:ext>
          </a:extLst>
        </xdr:cNvPr>
        <xdr:cNvSpPr>
          <a:spLocks noChangeArrowheads="1"/>
        </xdr:cNvSpPr>
      </xdr:nvSpPr>
      <xdr:spPr bwMode="auto">
        <a:xfrm>
          <a:off x="0" y="0"/>
          <a:ext cx="9686925"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14</xdr:col>
      <xdr:colOff>485775</xdr:colOff>
      <xdr:row>48</xdr:row>
      <xdr:rowOff>0</xdr:rowOff>
    </xdr:to>
    <xdr:sp macro="" textlink="">
      <xdr:nvSpPr>
        <xdr:cNvPr id="3074" name="Text Box 2" hidden="1">
          <a:extLst>
            <a:ext uri="{FF2B5EF4-FFF2-40B4-BE49-F238E27FC236}">
              <a16:creationId xmlns:a16="http://schemas.microsoft.com/office/drawing/2014/main" id="{9870376A-201A-4C32-95AB-C7836BD1B1CB}"/>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485775</xdr:colOff>
      <xdr:row>48</xdr:row>
      <xdr:rowOff>0</xdr:rowOff>
    </xdr:to>
    <xdr:sp macro="" textlink="">
      <xdr:nvSpPr>
        <xdr:cNvPr id="2" name="AutoShape 2">
          <a:extLst>
            <a:ext uri="{FF2B5EF4-FFF2-40B4-BE49-F238E27FC236}">
              <a16:creationId xmlns:a16="http://schemas.microsoft.com/office/drawing/2014/main" id="{8E6347E0-15F7-4460-BC15-8BA1F38AE05D}"/>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14</xdr:col>
      <xdr:colOff>485775</xdr:colOff>
      <xdr:row>48</xdr:row>
      <xdr:rowOff>0</xdr:rowOff>
    </xdr:to>
    <xdr:sp macro="" textlink="">
      <xdr:nvSpPr>
        <xdr:cNvPr id="4098" name="Text Box 2" hidden="1">
          <a:extLst>
            <a:ext uri="{FF2B5EF4-FFF2-40B4-BE49-F238E27FC236}">
              <a16:creationId xmlns:a16="http://schemas.microsoft.com/office/drawing/2014/main" id="{2B2DD832-C0F4-472A-8278-24FACD629D17}"/>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485775</xdr:colOff>
      <xdr:row>48</xdr:row>
      <xdr:rowOff>0</xdr:rowOff>
    </xdr:to>
    <xdr:sp macro="" textlink="">
      <xdr:nvSpPr>
        <xdr:cNvPr id="2" name="AutoShape 2">
          <a:extLst>
            <a:ext uri="{FF2B5EF4-FFF2-40B4-BE49-F238E27FC236}">
              <a16:creationId xmlns:a16="http://schemas.microsoft.com/office/drawing/2014/main" id="{8EF0DC50-967D-41BC-985C-FAB0B0846472}"/>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771525</xdr:colOff>
      <xdr:row>48</xdr:row>
      <xdr:rowOff>0</xdr:rowOff>
    </xdr:to>
    <xdr:sp macro="" textlink="">
      <xdr:nvSpPr>
        <xdr:cNvPr id="5122" name="Text Box 2" hidden="1">
          <a:extLst>
            <a:ext uri="{FF2B5EF4-FFF2-40B4-BE49-F238E27FC236}">
              <a16:creationId xmlns:a16="http://schemas.microsoft.com/office/drawing/2014/main" id="{D81AAF14-F9A6-461B-BB4D-20D3E474AAC8}"/>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771525</xdr:colOff>
      <xdr:row>48</xdr:row>
      <xdr:rowOff>0</xdr:rowOff>
    </xdr:to>
    <xdr:sp macro="" textlink="">
      <xdr:nvSpPr>
        <xdr:cNvPr id="2" name="AutoShape 2">
          <a:extLst>
            <a:ext uri="{FF2B5EF4-FFF2-40B4-BE49-F238E27FC236}">
              <a16:creationId xmlns:a16="http://schemas.microsoft.com/office/drawing/2014/main" id="{D511FD6B-78C6-48BE-BEC3-B675F83FF949}"/>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19</xdr:col>
      <xdr:colOff>171450</xdr:colOff>
      <xdr:row>48</xdr:row>
      <xdr:rowOff>0</xdr:rowOff>
    </xdr:to>
    <xdr:sp macro="" textlink="">
      <xdr:nvSpPr>
        <xdr:cNvPr id="9218" name="Text Box 2" hidden="1">
          <a:extLst>
            <a:ext uri="{FF2B5EF4-FFF2-40B4-BE49-F238E27FC236}">
              <a16:creationId xmlns:a16="http://schemas.microsoft.com/office/drawing/2014/main" id="{7C0E383D-929E-4E8A-82B1-2FABF830E8C4}"/>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19</xdr:col>
      <xdr:colOff>171450</xdr:colOff>
      <xdr:row>48</xdr:row>
      <xdr:rowOff>0</xdr:rowOff>
    </xdr:to>
    <xdr:sp macro="" textlink="">
      <xdr:nvSpPr>
        <xdr:cNvPr id="2" name="AutoShape 2">
          <a:extLst>
            <a:ext uri="{FF2B5EF4-FFF2-40B4-BE49-F238E27FC236}">
              <a16:creationId xmlns:a16="http://schemas.microsoft.com/office/drawing/2014/main" id="{59507EE1-9F90-43EC-ACD6-161DC516F55D}"/>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14</xdr:col>
      <xdr:colOff>485775</xdr:colOff>
      <xdr:row>48</xdr:row>
      <xdr:rowOff>0</xdr:rowOff>
    </xdr:to>
    <xdr:sp macro="" textlink="">
      <xdr:nvSpPr>
        <xdr:cNvPr id="7170" name="Text Box 2" hidden="1">
          <a:extLst>
            <a:ext uri="{FF2B5EF4-FFF2-40B4-BE49-F238E27FC236}">
              <a16:creationId xmlns:a16="http://schemas.microsoft.com/office/drawing/2014/main" id="{4D66F5DB-62CD-4DE5-9007-355B4C41B419}"/>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485775</xdr:colOff>
      <xdr:row>48</xdr:row>
      <xdr:rowOff>0</xdr:rowOff>
    </xdr:to>
    <xdr:sp macro="" textlink="">
      <xdr:nvSpPr>
        <xdr:cNvPr id="2" name="AutoShape 2">
          <a:extLst>
            <a:ext uri="{FF2B5EF4-FFF2-40B4-BE49-F238E27FC236}">
              <a16:creationId xmlns:a16="http://schemas.microsoft.com/office/drawing/2014/main" id="{86C11A64-FDDC-4C24-B6B2-CC1771749FCB}"/>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0</xdr:rowOff>
    </xdr:from>
    <xdr:to>
      <xdr:col>14</xdr:col>
      <xdr:colOff>485775</xdr:colOff>
      <xdr:row>48</xdr:row>
      <xdr:rowOff>0</xdr:rowOff>
    </xdr:to>
    <xdr:sp macro="" textlink="">
      <xdr:nvSpPr>
        <xdr:cNvPr id="8194" name="Text Box 2" hidden="1">
          <a:extLst>
            <a:ext uri="{FF2B5EF4-FFF2-40B4-BE49-F238E27FC236}">
              <a16:creationId xmlns:a16="http://schemas.microsoft.com/office/drawing/2014/main" id="{FB240C5F-0BFB-4D13-A3F7-B5ED5C0AE095}"/>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485775</xdr:colOff>
      <xdr:row>48</xdr:row>
      <xdr:rowOff>0</xdr:rowOff>
    </xdr:to>
    <xdr:sp macro="" textlink="">
      <xdr:nvSpPr>
        <xdr:cNvPr id="2" name="AutoShape 2">
          <a:extLst>
            <a:ext uri="{FF2B5EF4-FFF2-40B4-BE49-F238E27FC236}">
              <a16:creationId xmlns:a16="http://schemas.microsoft.com/office/drawing/2014/main" id="{027C8D4B-0809-4BDA-A057-AFBA9140034F}"/>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0</xdr:row>
      <xdr:rowOff>0</xdr:rowOff>
    </xdr:from>
    <xdr:to>
      <xdr:col>14</xdr:col>
      <xdr:colOff>485775</xdr:colOff>
      <xdr:row>48</xdr:row>
      <xdr:rowOff>0</xdr:rowOff>
    </xdr:to>
    <xdr:sp macro="" textlink="">
      <xdr:nvSpPr>
        <xdr:cNvPr id="10242" name="Text Box 2" hidden="1">
          <a:extLst>
            <a:ext uri="{FF2B5EF4-FFF2-40B4-BE49-F238E27FC236}">
              <a16:creationId xmlns:a16="http://schemas.microsoft.com/office/drawing/2014/main" id="{DB0C61F3-DAFF-4107-AFE0-95673902402F}"/>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485775</xdr:colOff>
      <xdr:row>48</xdr:row>
      <xdr:rowOff>0</xdr:rowOff>
    </xdr:to>
    <xdr:sp macro="" textlink="">
      <xdr:nvSpPr>
        <xdr:cNvPr id="2" name="AutoShape 2">
          <a:extLst>
            <a:ext uri="{FF2B5EF4-FFF2-40B4-BE49-F238E27FC236}">
              <a16:creationId xmlns:a16="http://schemas.microsoft.com/office/drawing/2014/main" id="{78B3D132-0195-4B3A-BB14-11196C304DAA}"/>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1704975</xdr:colOff>
      <xdr:row>48</xdr:row>
      <xdr:rowOff>0</xdr:rowOff>
    </xdr:to>
    <xdr:sp macro="" textlink="">
      <xdr:nvSpPr>
        <xdr:cNvPr id="11266" name="Text Box 2" hidden="1">
          <a:extLst>
            <a:ext uri="{FF2B5EF4-FFF2-40B4-BE49-F238E27FC236}">
              <a16:creationId xmlns:a16="http://schemas.microsoft.com/office/drawing/2014/main" id="{43C4A4BD-CCDF-4442-8E7F-B6D3EBB14E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1704975</xdr:colOff>
      <xdr:row>48</xdr:row>
      <xdr:rowOff>0</xdr:rowOff>
    </xdr:to>
    <xdr:sp macro="" textlink="">
      <xdr:nvSpPr>
        <xdr:cNvPr id="2" name="AutoShape 2">
          <a:extLst>
            <a:ext uri="{FF2B5EF4-FFF2-40B4-BE49-F238E27FC236}">
              <a16:creationId xmlns:a16="http://schemas.microsoft.com/office/drawing/2014/main" id="{55C675DC-ADC7-42AD-BEB1-A3FC26796B7C}"/>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i Thapliyal" refreshedDate="43018.513952430556" createdVersion="6" refreshedVersion="6" minRefreshableVersion="3" recordCount="1102" xr:uid="{3CB66D9D-FEFE-4E07-A32D-FB4BDC4283FC}">
  <cacheSource type="worksheet">
    <worksheetSource ref="A1:T1048576" sheet="Final"/>
  </cacheSource>
  <cacheFields count="20">
    <cacheField name="#" numFmtId="0">
      <sharedItems containsString="0" containsBlank="1" containsNumber="1" minValue="1" maxValue="757.12"/>
    </cacheField>
    <cacheField name="Content Owner" numFmtId="0">
      <sharedItems containsBlank="1" count="4">
        <s v="HT"/>
        <m/>
        <s v="JB"/>
        <s v="RKT"/>
      </sharedItems>
    </cacheField>
    <cacheField name="Video Owner" numFmtId="0">
      <sharedItems containsNonDate="0" containsString="0" containsBlank="1"/>
    </cacheField>
    <cacheField name="Final Status" numFmtId="0">
      <sharedItems containsBlank="1"/>
    </cacheField>
    <cacheField name="Video URL" numFmtId="0">
      <sharedItems containsBlank="1"/>
    </cacheField>
    <cacheField name="Video Title" numFmtId="0">
      <sharedItems containsBlank="1"/>
    </cacheField>
    <cacheField name="Clip Title" numFmtId="0">
      <sharedItems containsBlank="1" count="185">
        <s v="Swami Dayananda Saraswati Ji on the Theory of Invasion"/>
        <s v="Swami Dayananda Saraswati Ji on minority appeasement"/>
        <s v="Admiral Nayyar on Tolerance &amp; Partition of India"/>
        <s v="Cho Ramaswamy on Secularism"/>
        <s v="NR"/>
        <s v="Msg in Tamil Language. I do not know title!"/>
        <s v="S Gurumurthy on Dharma, Secularism, dravidian movement, tiruvallur and Christianity"/>
        <s v="Aravindan Neelakandan &amp; Rajiv Malhotra on how &quot;Breaking India&quot; book was conceived."/>
        <s v="Dravidian Christian Movement in Tamil Nadu"/>
        <s v="Focus of &quot;Breaking India&quot; Book as per various well known readers"/>
        <s v="Impact of Saint Thomas on Tamil Classics"/>
        <s v="If Jesus would have born in India"/>
        <s v="Why &quot;Breaking India&quot; book criticizes Dravidian Movement?"/>
        <s v="Tamil culture &amp; Vedic Sanskrit culture"/>
        <s v="Are dravidian black of India?"/>
        <s v="Human right, conversion theory and Mahatma Gandhi"/>
        <s v="Conspiracy theory and &quot;Breaking India&quot; book"/>
        <s v="Contribution of St Thomas to Indian Christianity. Temple vs Churches."/>
        <m/>
        <s v="Nexus of Foreign NGOs and their role in BI"/>
        <s v="The Christianity ambush on multiple fronts"/>
        <s v="Human rights and its use for conversion"/>
        <s v="Ambedkar's views on conversion"/>
        <s v="Conversion to Christianity and the demonization of Hinduism, ancient Indian culture"/>
        <s v="Improvement in conditions of Dalits is not connected to conversion"/>
        <s v="Nexus of foreign NGOs and their role in human rights"/>
        <s v="Rajiv Malhotra on Christian media network"/>
        <s v="Defining who is a minority"/>
        <s v="Christian controlled media and literature"/>
        <s v="Radicalization of Christianity in India"/>
        <s v="Role of US government, donors and NGOs in conversion"/>
        <s v="Princeton University discussion on &quot;Breaking India&quot; - speaker Reverend Thompson."/>
        <s v="Rev. Thompson on forcible conversion to Christianity"/>
        <s v="Rev. Thompson's reasoning for conversion"/>
        <s v="Rev. Thompson explains why anti-Brahmin feelings rose"/>
        <s v="Rev. Thompson speaks in support of the Aryan - Dravidian theory"/>
        <s v="Does Christianity respect other religions?"/>
        <s v="Christian powered violence against Hindus"/>
        <s v="Expectations from the church in India"/>
        <s v="Link between reservation, conversion and college admissions"/>
        <s v="Why does Christianity promote conversions?"/>
        <s v="Methodology behind BI research"/>
        <s v="Conversion does not solve casteism problem"/>
        <s v="Rajiv Malhotra on Buddhism in India"/>
        <s v="Using the Dalit cause as a Breaking India factor"/>
        <s v="Who is behind the Breaking India movement?"/>
        <s v="The systematic campaign to tag India as a place where there is no religious freedom."/>
        <s v="Some Liberal Christians who get involved unknowingly in the Breaking India movement"/>
        <s v="Understanding the campaign by vested interests for a Dravidian identity"/>
        <s v="Using the minority card to create a divide"/>
        <s v="GoI intervention is needed to stem the Breaking India movement"/>
        <s v="How to make more people aware of the Breaking India movement"/>
        <s v="Why are Indian leaders unable to take bold steps on anti-conversion?"/>
        <s v="The challenges in getting organized support against Breaking India forces in India"/>
        <s v="The three external threats that India faces"/>
        <s v="Can India's inherent strengths not protect her from Breaking India forces?"/>
        <s v="Will truth not prevail over the Breaking India forces?"/>
        <s v="Willingness of people to contribute to Rajiv Malhotra's efforts"/>
        <s v="Brahman and Karma explained"/>
        <s v="Reincarnation frees from History centrism"/>
        <s v="Abrahamic religions do not explain birth inequalities"/>
        <s v="Does karma absolve social accountability"/>
        <s v="Who does accounting of karma"/>
        <s v="Dharma is deconstruction of the &quot;I&quot; in self"/>
        <s v="Swa-dharma, mutual respect - celebrate the diversity"/>
        <s v="Soul, Salvation, Atman, Moksha are not same concepts"/>
        <s v="What is Purva-Paksha - in dharmic tradition"/>
        <s v="Educating the next generation"/>
        <s v="Hindu dharma respects diversity"/>
        <s v="History centricism vs. Dharmic Brahman concept"/>
        <s v="History centrisim, the cause for Institutionalization of Abrahamic traditions"/>
        <s v="Why is there a need to manage our Hindu civilization discourse?"/>
        <s v="What is a discourse?"/>
        <s v="Is Western collaboration necessary to manage the Hindu discourse?"/>
        <s v="Are Hindus present in the discourse forums?"/>
        <s v="How Hindus can initiate discourses that cannot be ignored"/>
        <s v="Tracing the growth of Anti-India causes"/>
        <s v="Who is involved in the Anti-India nexus and their modus operandi"/>
        <s v="Defining who is a minority in India"/>
        <s v="Corruption in the Christian conversion process"/>
        <s v="What Rajiv Malhotra is try to do?"/>
        <s v="What is Afro-Dalit project of missionaries in India?"/>
        <s v="How churches creating dominance in India?"/>
        <s v="Churches and their human right arguments"/>
        <s v="Nexus of US Govt, Foundations and Churches from US"/>
        <s v="People behind religious freedom project of US Commision"/>
        <s v="Who created Dravid Identify in India?"/>
        <s v="21st Century methods to divide to rule the India"/>
        <s v="Who is responsible for assaulting indian culture"/>
        <s v="Left-Right unity in India"/>
        <s v="What is minority community?"/>
        <s v="Human right in India vs China from the US lenses"/>
        <s v="In fighting of Hinduism, sufism and uniting Hindus strategy"/>
        <s v="How west was unified by Hegal in 17th Century"/>
        <s v="3 Naxus against India"/>
        <s v="What is being Broken &amp; Why?"/>
        <s v="Dravidian Aryan Artificial Theory"/>
        <s v="Objective of DFN (Dalit Freedom Network)"/>
        <s v="Work of Lutherian Church of Northen Europe in India"/>
        <s v="US Govt Role as a Part of Nexus"/>
        <s v="How Breaking India forces are studying India?"/>
        <s v="Yagya is not equal to sacrifice"/>
        <s v="Non Translatable Sanskrit Words"/>
        <s v="What is digestion of civilization?"/>
        <s v="How to avoid digestion of civilization?"/>
        <s v="Why virgin birth so critical in Christianity?"/>
        <s v="People born before Jesus and original sin."/>
        <s v="What is nicene creed?"/>
        <s v="What is history centrism?"/>
        <s v="Status of Jesus in Islam"/>
        <s v="Intergral Unity vs Synthetic Unity"/>
        <s v="Sufism &amp; Islam and Ahmadiyya"/>
        <s v="Sanskrit Non-Translatable words"/>
        <s v="Dr. Subramanian Swamy on Building an identity of India"/>
        <s v="Dr. Subramanian Swamy on Breaking India forces at play"/>
        <s v="Dr. Subramanian Swamy on the Aryan - Dravidian myth"/>
        <s v="Dr. Subramanian Swamy on how India has retained a Hindu majority"/>
        <s v="Dr. Subramanian Swamy on developing a Hindu identity"/>
        <s v="Why Rajv Malhotra's arguments work for the Western audience?"/>
        <s v="Dr. Subramanian Swamy on reservation &amp; caste system in India"/>
        <s v="How Indian Psychology became serious subject in western world"/>
        <s v="What is Protestant Ethics (Western Model) and its impact on India"/>
        <s v="Indian Ashrama system and cosumerism"/>
        <s v="Indian Decentralized Structures"/>
        <s v="How can Indian beat the western model of development?"/>
        <s v="How to get our work scientifically validated?"/>
        <s v="How to counter the Weber's critique about India"/>
        <s v="Indian Diasphora and U-turn theory"/>
        <s v="Women not found in classical indian tradition with equal rights"/>
        <s v="Using dharmic civilization as a base does not mean we want to go back to Vedic age"/>
        <s v="Why Hindu Identify?"/>
        <s v="Five stage of U-Turn Theory"/>
        <s v="U-Turn of Dr. Herb Benson"/>
        <s v="U-Turn of Daniel Goleman"/>
        <s v="U-Turn of Dean Ornish"/>
        <s v="U-Turn of John Kabat Zinn"/>
        <s v="U-Turn of Stephen LaBerge"/>
        <s v="U-Turn of Francisco Varela"/>
        <s v="U-Trun of Evan Thompson"/>
        <s v="U-Trun of Roberto Assagioli"/>
        <s v="U-Turn of Ken Welber"/>
        <s v="Institutional U-Turn- California Institute of Integral Studies"/>
        <s v="Institutional U-Turn- Esalen - Original Influenced by JD Krishnamurthi"/>
        <s v="Institutional U-Turn- Institute of Noetic Sciences - IONS"/>
        <s v="U-Turn of Karl Jung"/>
        <s v="U-Turn of Poly Trout"/>
        <s v="U-Trun Eugene Taylor"/>
        <s v="Five stage of U-Turn Theory in Detail"/>
        <s v="Digestion of Ayurveda into Estee Lauder (Aveda)"/>
        <s v="How yoga could have benefited Indian Economy"/>
        <s v="Human Right Policing in India by USA"/>
        <s v="Does the west of superior human right records?"/>
        <s v="Dowry murders Delhi and Insurance Killing in New York a comparison"/>
        <s v="India's Pluralism is Under-appreciated!"/>
        <s v="Academic studies about India are prejudice"/>
        <s v="Biased linking between the social problem and Hinduism"/>
        <s v="American encouraged topics vs discouraged topic in India study"/>
        <s v="A comparison of sharp criticism of India vs USA."/>
        <s v="How anthropologists, publishers, religion academician &amp; historians make a bad gang"/>
        <s v="How this whole theater of Breaking India forces works?"/>
        <s v="How the rich of the world are re-writing history."/>
        <s v="Relationship between Economic performance of a country and its Cultural capital"/>
        <s v="The whole system of economic growth is unsustainable."/>
        <s v="What is Indian Grand Narrative?"/>
        <s v="Strategy: Handling multiple questions on Hindu Identify."/>
        <s v="If you are identity-less then you are disempowering yourself"/>
        <s v="Difference between identity struggle in America and Canada"/>
        <s v="All are one and children of God then why Hindu seeks differnet identify?"/>
        <s v="Identity is forced upon us and in reality we have to deal with enforced identity issue"/>
        <s v="For transendance of the idenitfy/ego knowing identity is important."/>
        <s v="Why civilization identify is required?"/>
        <s v="How Carabian Hindu feels in US?"/>
        <s v="Who should define identity for Hindu?"/>
        <s v="Aditi Banerjee describes her experience of hinduphobia"/>
        <s v="RISA Lila article, Sulekha &amp; Rajiv Malhotra Controversy"/>
        <s v="Understanding of Rajiv Malhotra's work by ABCD"/>
        <s v="Naughty work of Wendy Doniger and her student Martha Nussbaum"/>
        <s v="Books by Ramakrishna missions considered inappropriate for children"/>
        <s v="Jeffrey Kripal's book misrepresentaitons of Ramakrishna Mission"/>
        <s v="Hinduphobia from Paul Courtright's book about Ganesh"/>
        <s v="David Gordon delinking popular movements from hinduism, opression by brahmanas"/>
        <s v="Sara Caldwell award winning paper - improper psychoanalysis of hinduism"/>
        <s v="Western academicians infiltrate and coopt indians"/>
        <s v="Our vedic scholars dont qualify in the western academia"/>
        <s v="Jack Hawley and his book on Neo Hinduism"/>
      </sharedItems>
    </cacheField>
    <cacheField name="Description" numFmtId="0">
      <sharedItems containsBlank="1" longText="1"/>
    </cacheField>
    <cacheField name="Tags" numFmtId="0">
      <sharedItems containsNonDate="0" containsString="0" containsBlank="1"/>
    </cacheField>
    <cacheField name="Views as on 10-Sep-17" numFmtId="0">
      <sharedItems containsString="0" containsBlank="1" containsNumber="1" containsInteger="1" minValue="118" maxValue="114000"/>
    </cacheField>
    <cacheField name="Video Duration" numFmtId="0">
      <sharedItems containsNonDate="0" containsDate="1" containsString="0" containsBlank="1" minDate="1899-12-30T00:00:24" maxDate="1899-12-30T02:50:51" count="624">
        <d v="1899-12-30T00:13:52"/>
        <d v="1899-12-30T00:14:49"/>
        <d v="1899-12-30T00:03:07"/>
        <d v="1899-12-30T00:01:24"/>
        <d v="1899-12-30T00:00:35"/>
        <d v="1899-12-30T00:05:45"/>
        <d v="1899-12-30T00:04:51"/>
        <d v="1899-12-30T00:14:56"/>
        <m/>
        <d v="1899-12-30T00:05:00"/>
        <d v="1899-12-30T00:04:22"/>
        <d v="1899-12-30T00:03:29"/>
        <d v="1899-12-30T00:03:12"/>
        <d v="1899-12-30T00:05:05"/>
        <d v="1899-12-30T00:05:52"/>
        <d v="1899-12-30T00:03:51"/>
        <d v="1899-12-30T00:08:14"/>
        <d v="1899-12-30T00:03:57"/>
        <d v="1899-12-30T00:03:33"/>
        <d v="1899-12-30T00:01:37"/>
        <d v="1899-12-30T00:10:21"/>
        <d v="1899-12-30T00:01:53"/>
        <d v="1899-12-30T00:13:23"/>
        <d v="1899-12-30T00:10:46"/>
        <d v="1899-12-30T00:11:53"/>
        <d v="1899-12-30T00:13:51"/>
        <d v="1899-12-30T00:10:47"/>
        <d v="1899-12-30T00:04:40"/>
        <d v="1899-12-30T00:11:37"/>
        <d v="1899-12-30T00:11:04"/>
        <d v="1899-12-30T00:07:30"/>
        <d v="1899-12-30T00:07:00"/>
        <d v="1899-12-30T00:01:44"/>
        <d v="1899-12-30T00:10:34"/>
        <d v="1899-12-30T00:11:00"/>
        <d v="1899-12-30T00:08:34"/>
        <d v="1899-12-30T00:12:01"/>
        <d v="1899-12-30T00:13:45"/>
        <d v="1899-12-30T00:04:50"/>
        <d v="1899-12-30T00:09:28"/>
        <d v="1899-12-30T00:04:36"/>
        <d v="1899-12-30T00:12:46"/>
        <d v="1899-12-30T00:07:29"/>
        <d v="1899-12-30T00:04:58"/>
        <d v="1899-12-30T00:07:40"/>
        <d v="1899-12-30T00:11:52"/>
        <d v="1899-12-30T00:03:44"/>
        <d v="1899-12-30T00:06:02"/>
        <d v="1899-12-30T00:04:45"/>
        <d v="1899-12-30T00:12:53"/>
        <d v="1899-12-30T00:14:47"/>
        <d v="1899-12-30T00:08:46"/>
        <d v="1899-12-30T00:14:24"/>
        <d v="1899-12-30T00:12:56"/>
        <d v="1899-12-30T00:13:25"/>
        <d v="1899-12-30T00:13:04"/>
        <d v="1899-12-30T00:07:28"/>
        <d v="1899-12-30T00:12:23"/>
        <d v="1899-12-30T00:52:35"/>
        <d v="1899-12-30T00:08:04"/>
        <d v="1899-12-30T00:02:54"/>
        <d v="1899-12-30T00:51:54"/>
        <d v="1899-12-30T00:16:29"/>
        <d v="1899-12-30T00:13:08"/>
        <d v="1899-12-30T00:10:22"/>
        <d v="1899-12-30T00:39:59"/>
        <d v="1899-12-30T00:07:15"/>
        <d v="1899-12-30T00:34:48"/>
        <d v="1899-12-30T00:51:01"/>
        <d v="1899-12-30T00:05:04"/>
        <d v="1899-12-30T00:12:19"/>
        <d v="1899-12-30T00:15:43"/>
        <d v="1899-12-30T01:36:42"/>
        <d v="1899-12-30T01:00:53"/>
        <d v="1899-12-30T01:10:21"/>
        <d v="1899-12-30T00:35:40"/>
        <d v="1899-12-30T00:54:04"/>
        <d v="1899-12-30T00:34:45"/>
        <d v="1899-12-30T00:46:51"/>
        <d v="1899-12-30T00:14:15"/>
        <d v="1899-12-30T00:04:01"/>
        <d v="1899-12-30T00:17:06"/>
        <d v="1899-12-30T00:02:19"/>
        <d v="1899-12-30T01:00:42"/>
        <d v="1899-12-30T00:10:13"/>
        <d v="1899-12-30T00:39:22"/>
        <d v="1899-12-30T00:15:23"/>
        <d v="1899-12-30T00:26:00"/>
        <d v="1899-12-30T00:57:59"/>
        <d v="1899-12-30T00:34:40"/>
        <d v="1899-12-30T00:37:27"/>
        <d v="1899-12-30T00:51:23"/>
        <d v="1899-12-30T01:35:45"/>
        <d v="1899-12-30T00:08:30"/>
        <d v="1899-12-30T00:16:47"/>
        <d v="1899-12-30T00:30:22"/>
        <d v="1899-12-30T00:49:38"/>
        <d v="1899-12-30T00:41:01"/>
        <d v="1899-12-30T00:35:46"/>
        <d v="1899-12-30T01:06:04"/>
        <d v="1899-12-30T00:17:16"/>
        <d v="1899-12-30T02:19:41"/>
        <d v="1899-12-30T00:33:53"/>
        <d v="1899-12-30T02:09:00"/>
        <d v="1899-12-30T01:19:02"/>
        <d v="1899-12-30T02:01:38"/>
        <d v="1899-12-30T01:16:10"/>
        <d v="1899-12-30T00:45:49"/>
        <d v="1899-12-30T02:33:46"/>
        <d v="1899-12-30T00:06:12"/>
        <d v="1899-12-30T00:37:32"/>
        <d v="1899-12-30T00:33:51"/>
        <d v="1899-12-30T00:16:43"/>
        <d v="1899-12-30T00:31:24"/>
        <d v="1899-12-30T00:41:55"/>
        <d v="1899-12-30T00:19:12"/>
        <d v="1899-12-30T00:18:07"/>
        <d v="1899-12-30T00:52:32"/>
        <d v="1899-12-30T00:51:46"/>
        <d v="1899-12-30T00:54:08"/>
        <d v="1899-12-30T01:08:15"/>
        <d v="1899-12-30T01:08:25"/>
        <d v="1899-12-30T00:22:33"/>
        <d v="1899-12-30T01:18:11"/>
        <d v="1899-12-30T00:37:48"/>
        <d v="1899-12-30T00:41:15"/>
        <d v="1899-12-30T00:47:47"/>
        <d v="1899-12-30T00:16:44"/>
        <d v="1899-12-30T00:05:44"/>
        <d v="1899-12-30T00:04:20"/>
        <d v="1899-12-30T00:30:14"/>
        <d v="1899-12-30T00:56:51"/>
        <d v="1899-12-30T00:18:00"/>
        <d v="1899-12-30T00:02:36"/>
        <d v="1899-12-30T00:45:44"/>
        <d v="1899-12-30T00:07:57"/>
        <d v="1899-12-30T00:53:24"/>
        <d v="1899-12-30T00:48:25"/>
        <d v="1899-12-30T00:41:50"/>
        <d v="1899-12-30T00:30:49"/>
        <d v="1899-12-30T00:20:52"/>
        <d v="1899-12-30T00:15:55"/>
        <d v="1899-12-30T00:29:03"/>
        <d v="1899-12-30T00:04:30"/>
        <d v="1899-12-30T00:36:18"/>
        <d v="1899-12-30T00:52:42"/>
        <d v="1899-12-30T01:00:55"/>
        <d v="1899-12-30T01:00:40"/>
        <d v="1899-12-30T00:47:33"/>
        <d v="1899-12-30T01:52:44"/>
        <d v="1899-12-30T00:32:45"/>
        <d v="1899-12-30T01:06:37"/>
        <d v="1899-12-30T00:07:05"/>
        <d v="1899-12-30T00:03:18"/>
        <d v="1899-12-30T00:02:30"/>
        <d v="1899-12-30T00:03:26"/>
        <d v="1899-12-30T00:01:41"/>
        <d v="1899-12-30T00:03:03"/>
        <d v="1899-12-30T00:02:06"/>
        <d v="1899-12-30T00:02:07"/>
        <d v="1899-12-30T00:08:12"/>
        <d v="1899-12-30T00:03:06"/>
        <d v="1899-12-30T00:14:34"/>
        <d v="1899-12-30T01:48:52"/>
        <d v="1899-12-30T02:14:27"/>
        <d v="1899-12-30T01:16:16"/>
        <d v="1899-12-30T00:04:04"/>
        <d v="1899-12-30T01:25:49"/>
        <d v="1899-12-30T00:35:57"/>
        <d v="1899-12-30T01:20:19"/>
        <d v="1899-12-30T00:37:15"/>
        <d v="1899-12-30T00:25:34"/>
        <d v="1899-12-30T02:00:12"/>
        <d v="1899-12-30T01:28:05"/>
        <d v="1899-12-30T00:44:42"/>
        <d v="1899-12-30T00:23:36"/>
        <d v="1899-12-30T01:07:58"/>
        <d v="1899-12-30T00:58:48"/>
        <d v="1899-12-30T00:09:34"/>
        <d v="1899-12-30T00:22:58"/>
        <d v="1899-12-30T00:17:27"/>
        <d v="1899-12-30T00:12:06"/>
        <d v="1899-12-30T00:07:27"/>
        <d v="1899-12-30T00:08:17"/>
        <d v="1899-12-30T00:02:12"/>
        <d v="1899-12-30T00:21:37"/>
        <d v="1899-12-30T00:45:33"/>
        <d v="1899-12-30T00:58:49"/>
        <d v="1899-12-30T00:01:57"/>
        <d v="1899-12-30T00:14:17"/>
        <d v="1899-12-30T00:36:36"/>
        <d v="1899-12-30T00:06:50"/>
        <d v="1899-12-30T00:04:25"/>
        <d v="1899-12-30T00:02:42"/>
        <d v="1899-12-30T00:12:42"/>
        <d v="1899-12-30T00:12:57"/>
        <d v="1899-12-30T00:13:20"/>
        <d v="1899-12-30T00:03:48"/>
        <d v="1899-12-30T00:03:55"/>
        <d v="1899-12-30T00:03:17"/>
        <d v="1899-12-30T00:06:16"/>
        <d v="1899-12-30T00:09:21"/>
        <d v="1899-12-30T00:13:16"/>
        <d v="1899-12-30T00:10:25"/>
        <d v="1899-12-30T00:06:20"/>
        <d v="1899-12-30T00:09:25"/>
        <d v="1899-12-30T00:04:38"/>
        <d v="1899-12-30T00:18:50"/>
        <d v="1899-12-30T00:11:32"/>
        <d v="1899-12-30T00:03:40"/>
        <d v="1899-12-30T00:42:56"/>
        <d v="1899-12-30T00:09:47"/>
        <d v="1899-12-30T00:04:27"/>
        <d v="1899-12-30T00:03:56"/>
        <d v="1899-12-30T00:27:10"/>
        <d v="1899-12-30T00:36:49"/>
        <d v="1899-12-30T00:17:42"/>
        <d v="1899-12-30T00:05:59"/>
        <d v="1899-12-30T00:02:08"/>
        <d v="1899-12-30T00:02:16"/>
        <d v="1899-12-30T00:10:35"/>
        <d v="1899-12-30T00:06:23"/>
        <d v="1899-12-30T00:49:33"/>
        <d v="1899-12-30T00:16:22"/>
        <d v="1899-12-30T00:12:05"/>
        <d v="1899-12-30T00:06:06"/>
        <d v="1899-12-30T00:03:49"/>
        <d v="1899-12-30T00:03:16"/>
        <d v="1899-12-30T00:05:07"/>
        <d v="1899-12-30T00:45:59"/>
        <d v="1899-12-30T00:03:47"/>
        <d v="1899-12-30T00:31:14"/>
        <d v="1899-12-30T00:01:55"/>
        <d v="1899-12-30T00:04:02"/>
        <d v="1899-12-30T00:47:59"/>
        <d v="1899-12-30T00:05:13"/>
        <d v="1899-12-30T00:02:32"/>
        <d v="1899-12-30T00:34:35"/>
        <d v="1899-12-30T00:34:17"/>
        <d v="1899-12-30T00:57:15"/>
        <d v="1899-12-30T01:45:29"/>
        <d v="1899-12-30T00:32:49"/>
        <d v="1899-12-30T00:10:11"/>
        <d v="1899-12-30T00:07:17"/>
        <d v="1899-12-30T00:28:48"/>
        <d v="1899-12-30T00:03:13"/>
        <d v="1899-12-30T00:28:01"/>
        <d v="1899-12-30T00:12:45"/>
        <d v="1899-12-30T00:05:39"/>
        <d v="1899-12-30T00:25:10"/>
        <d v="1899-12-30T00:02:49"/>
        <d v="1899-12-30T00:05:57"/>
        <d v="1899-12-30T00:52:01"/>
        <d v="1899-12-30T00:40:30"/>
        <d v="1899-12-30T00:47:40"/>
        <d v="1899-12-30T01:25:24"/>
        <d v="1899-12-30T01:28:33"/>
        <d v="1899-12-30T00:27:12"/>
        <d v="1899-12-30T00:48:24"/>
        <d v="1899-12-30T00:47:57"/>
        <d v="1899-12-30T00:43:17"/>
        <d v="1899-12-30T00:30:06"/>
        <d v="1899-12-30T00:31:48"/>
        <d v="1899-12-30T00:07:33"/>
        <d v="1899-12-30T00:34:24"/>
        <d v="1899-12-30T01:17:44"/>
        <d v="1899-12-30T00:48:14"/>
        <d v="1899-12-30T01:42:58"/>
        <d v="1899-12-30T02:19:10"/>
        <d v="1899-12-30T01:41:51"/>
        <d v="1899-12-30T02:00:29"/>
        <d v="1899-12-30T01:48:54"/>
        <d v="1899-12-30T00:26:36"/>
        <d v="1899-12-30T02:17:48"/>
        <d v="1899-12-30T02:02:55"/>
        <d v="1899-12-30T01:21:51"/>
        <d v="1899-12-30T01:47:49"/>
        <d v="1899-12-30T01:57:06"/>
        <d v="1899-12-30T01:33:23"/>
        <d v="1899-12-30T01:11:33"/>
        <d v="1899-12-30T01:35:38"/>
        <d v="1899-12-30T00:17:17"/>
        <d v="1899-12-30T00:10:51"/>
        <d v="1899-12-30T01:46:21"/>
        <d v="1899-12-30T01:39:00"/>
        <d v="1899-12-30T00:31:05"/>
        <d v="1899-12-30T01:37:26"/>
        <d v="1899-12-30T02:44:51"/>
        <d v="1899-12-30T02:17:38"/>
        <d v="1899-12-30T00:58:17"/>
        <d v="1899-12-30T02:23:59"/>
        <d v="1899-12-30T02:05:04"/>
        <d v="1899-12-30T02:32:17"/>
        <d v="1899-12-30T01:18:00"/>
        <d v="1899-12-30T01:49:14"/>
        <d v="1899-12-30T01:29:42"/>
        <d v="1899-12-30T00:05:37"/>
        <d v="1899-12-30T00:05:33"/>
        <d v="1899-12-30T00:07:01"/>
        <d v="1899-12-30T00:12:36"/>
        <d v="1899-12-30T00:16:06"/>
        <d v="1899-12-30T00:35:31"/>
        <d v="1899-12-30T00:32:53"/>
        <d v="1899-12-30T00:30:10"/>
        <d v="1899-12-30T00:16:42"/>
        <d v="1899-12-30T01:35:03"/>
        <d v="1899-12-30T02:13:19"/>
        <d v="1899-12-30T00:02:28"/>
        <d v="1899-12-30T00:13:39"/>
        <d v="1899-12-30T00:02:18"/>
        <d v="1899-12-30T00:07:54"/>
        <d v="1899-12-30T00:07:18"/>
        <d v="1899-12-30T01:27:28"/>
        <d v="1899-12-30T00:02:53"/>
        <d v="1899-12-30T00:01:08"/>
        <d v="1899-12-30T00:09:00"/>
        <d v="1899-12-30T00:03:45"/>
        <d v="1899-12-30T00:11:15"/>
        <d v="1899-12-30T00:56:38"/>
        <d v="1899-12-30T01:48:06"/>
        <d v="1899-12-30T00:03:36"/>
        <d v="1899-12-30T00:01:25"/>
        <d v="1899-12-30T01:41:43"/>
        <d v="1899-12-30T00:17:56"/>
        <d v="1899-12-30T00:03:58"/>
        <d v="1899-12-30T00:03:42"/>
        <d v="1899-12-30T00:02:33"/>
        <d v="1899-12-30T00:01:54"/>
        <d v="1899-12-30T00:01:22"/>
        <d v="1899-12-30T00:08:45"/>
        <d v="1899-12-30T00:05:16"/>
        <d v="1899-12-30T00:07:35"/>
        <d v="1899-12-30T00:01:42"/>
        <d v="1899-12-30T00:04:14"/>
        <d v="1899-12-30T00:04:56"/>
        <d v="1899-12-30T00:00:24"/>
        <d v="1899-12-30T00:03:46"/>
        <d v="1899-12-30T00:04:16"/>
        <d v="1899-12-30T00:03:09"/>
        <d v="1899-12-30T00:06:18"/>
        <d v="1899-12-30T00:00:27"/>
        <d v="1899-12-30T00:20:02"/>
        <d v="1899-12-30T00:24:20"/>
        <d v="1899-12-30T00:03:11"/>
        <d v="1899-12-30T00:32:34"/>
        <d v="1899-12-30T00:04:07"/>
        <d v="1899-12-30T00:02:41"/>
        <d v="1899-12-30T00:22:55"/>
        <d v="1899-12-30T00:05:35"/>
        <d v="1899-12-30T00:03:04"/>
        <d v="1899-12-30T00:02:20"/>
        <d v="1899-12-30T00:03:21"/>
        <d v="1899-12-30T00:01:16"/>
        <d v="1899-12-30T00:11:57"/>
        <d v="1899-12-30T00:09:44"/>
        <d v="1899-12-30T00:03:39"/>
        <d v="1899-12-30T00:07:44"/>
        <d v="1899-12-30T00:07:09"/>
        <d v="1899-12-30T00:16:50"/>
        <d v="1899-12-30T00:02:55"/>
        <d v="1899-12-30T00:04:57"/>
        <d v="1899-12-30T00:04:17"/>
        <d v="1899-12-30T00:04:52"/>
        <d v="1899-12-30T00:45:46"/>
        <d v="1899-12-30T00:02:37"/>
        <d v="1899-12-30T00:02:39"/>
        <d v="1899-12-30T00:01:35"/>
        <d v="1899-12-30T00:08:21"/>
        <d v="1899-12-30T00:04:03"/>
        <d v="1899-12-30T00:01:07"/>
        <d v="1899-12-30T00:20:29"/>
        <d v="1899-12-30T00:03:37"/>
        <d v="1899-12-30T00:02:13"/>
        <d v="1899-12-30T00:01:58"/>
        <d v="1899-12-30T00:04:10"/>
        <d v="1899-12-30T00:03:10"/>
        <d v="1899-12-30T00:02:38"/>
        <d v="1899-12-30T00:02:56"/>
        <d v="1899-12-30T00:01:06"/>
        <d v="1899-12-30T00:27:05"/>
        <d v="1899-12-30T00:02:57"/>
        <d v="1899-12-30T00:02:15"/>
        <d v="1899-12-30T00:00:31"/>
        <d v="1899-12-30T00:05:30"/>
        <d v="1899-12-30T00:00:39"/>
        <d v="1899-12-30T00:01:17"/>
        <d v="1899-12-30T00:03:27"/>
        <d v="1899-12-30T00:01:52"/>
        <d v="1899-12-30T00:06:19"/>
        <d v="1899-12-30T00:04:55"/>
        <d v="1899-12-30T00:03:32"/>
        <d v="1899-12-30T00:04:06"/>
        <d v="1899-12-30T00:19:10"/>
        <d v="1899-12-30T00:06:36"/>
        <d v="1899-12-30T00:03:00"/>
        <d v="1899-12-30T00:02:50"/>
        <d v="1899-12-30T00:05:14"/>
        <d v="1899-12-30T00:01:45"/>
        <d v="1899-12-30T00:07:36"/>
        <d v="1899-12-30T00:04:37"/>
        <d v="1899-12-30T00:06:04"/>
        <d v="1899-12-30T00:14:31"/>
        <d v="1899-12-30T00:38:55"/>
        <d v="1899-12-30T00:03:24"/>
        <d v="1899-12-30T00:02:27"/>
        <d v="1899-12-30T00:10:41"/>
        <d v="1899-12-30T00:02:24"/>
        <d v="1899-12-30T00:01:59"/>
        <d v="1899-12-30T00:05:36"/>
        <d v="1899-12-30T00:49:27"/>
        <d v="1899-12-30T00:39:19"/>
        <d v="1899-12-30T00:16:19"/>
        <d v="1899-12-30T00:11:01"/>
        <d v="1899-12-30T00:06:49"/>
        <d v="1899-12-30T00:01:38"/>
        <d v="1899-12-30T00:02:10"/>
        <d v="1899-12-30T00:01:01"/>
        <d v="1899-12-30T00:07:11"/>
        <d v="1899-12-30T00:12:08"/>
        <d v="1899-12-30T00:15:59"/>
        <d v="1899-12-30T00:08:06"/>
        <d v="1899-12-30T00:03:50"/>
        <d v="1899-12-30T00:12:18"/>
        <d v="1899-12-30T00:01:33"/>
        <d v="1899-12-30T00:02:21"/>
        <d v="1899-12-30T00:10:26"/>
        <d v="1899-12-30T00:04:39"/>
        <d v="1899-12-30T00:03:52"/>
        <d v="1899-12-30T00:07:56"/>
        <d v="1899-12-30T00:05:49"/>
        <d v="1899-12-30T01:03:17"/>
        <d v="1899-12-30T00:36:04"/>
        <d v="1899-12-30T00:02:00"/>
        <d v="1899-12-30T00:34:30"/>
        <d v="1899-12-30T00:54:21"/>
        <d v="1899-12-30T00:26:35"/>
        <d v="1899-12-30T00:55:01"/>
        <d v="1899-12-30T00:16:39"/>
        <d v="1899-12-30T00:35:03"/>
        <d v="1899-12-30T00:18:59"/>
        <d v="1899-12-30T00:09:24"/>
        <d v="1899-12-30T00:02:04"/>
        <d v="1899-12-30T00:01:56"/>
        <d v="1899-12-30T00:05:08"/>
        <d v="1899-12-30T00:04:31"/>
        <d v="1899-12-30T00:04:59"/>
        <d v="1899-12-30T00:01:02"/>
        <d v="1899-12-30T00:45:48"/>
        <d v="1899-12-30T00:28:25"/>
        <d v="1899-12-30T00:07:26"/>
        <d v="1899-12-30T00:24:35"/>
        <d v="1899-12-30T00:22:59"/>
        <d v="1899-12-30T00:25:58"/>
        <d v="1899-12-30T00:26:10"/>
        <d v="1899-12-30T00:29:56"/>
        <d v="1899-12-30T00:03:19"/>
        <d v="1899-12-30T00:29:09"/>
        <d v="1899-12-30T00:29:32"/>
        <d v="1899-12-30T00:33:02"/>
        <d v="1899-12-30T00:40:18"/>
        <d v="1899-12-30T00:31:02"/>
        <d v="1899-12-30T00:30:43"/>
        <d v="1899-12-30T00:12:10"/>
        <d v="1899-12-30T00:50:04"/>
        <d v="1899-12-30T00:14:44"/>
        <d v="1899-12-30T00:19:34"/>
        <d v="1899-12-30T00:08:28"/>
        <d v="1899-12-30T00:05:41"/>
        <d v="1899-12-30T00:20:16"/>
        <d v="1899-12-30T00:57:05"/>
        <d v="1899-12-30T00:02:47"/>
        <d v="1899-12-30T00:27:08"/>
        <d v="1899-12-30T00:34:43"/>
        <d v="1899-12-30T00:16:27"/>
        <d v="1899-12-30T01:37:44"/>
        <d v="1899-12-30T01:00:02"/>
        <d v="1899-12-30T00:09:16"/>
        <d v="1899-12-30T01:03:22"/>
        <d v="1899-12-30T00:16:04"/>
        <d v="1899-12-30T00:24:32"/>
        <d v="1899-12-30T00:10:07"/>
        <d v="1899-12-30T00:14:11"/>
        <d v="1899-12-30T00:05:03"/>
        <d v="1899-12-30T01:05:02"/>
        <d v="1899-12-30T00:22:36"/>
        <d v="1899-12-30T00:24:07"/>
        <d v="1899-12-30T00:49:28"/>
        <d v="1899-12-30T00:09:19"/>
        <d v="1899-12-30T00:40:59"/>
        <d v="1899-12-30T00:19:08"/>
        <d v="1899-12-30T00:31:33"/>
        <d v="1899-12-30T01:05:26"/>
        <d v="1899-12-30T00:05:34"/>
        <d v="1899-12-30T00:04:12"/>
        <d v="1899-12-30T01:39:25"/>
        <d v="1899-12-30T00:05:28"/>
        <d v="1899-12-30T00:05:21"/>
        <d v="1899-12-30T00:04:00"/>
        <d v="1899-12-30T00:05:22"/>
        <d v="1899-12-30T00:15:41"/>
        <d v="1899-12-30T00:18:38"/>
        <d v="1899-12-30T00:43:03"/>
        <d v="1899-12-30T00:24:59"/>
        <d v="1899-12-30T00:07:06"/>
        <d v="1899-12-30T00:05:43"/>
        <d v="1899-12-30T00:02:34"/>
        <d v="1899-12-30T00:08:08"/>
        <d v="1899-12-30T00:02:51"/>
        <d v="1899-12-30T00:05:40"/>
        <d v="1899-12-30T00:02:52"/>
        <d v="1899-12-30T00:56:01"/>
        <d v="1899-12-30T01:02:49"/>
        <d v="1899-12-30T00:04:44"/>
        <d v="1899-12-30T00:05:01"/>
        <d v="1899-12-30T01:12:04"/>
        <d v="1899-12-30T00:55:54"/>
        <d v="1899-12-30T02:50:51"/>
        <d v="1899-12-30T00:47:06"/>
        <d v="1899-12-30T00:05:27"/>
        <d v="1899-12-30T00:00:54"/>
        <d v="1899-12-30T00:07:39"/>
        <d v="1899-12-30T01:22:09"/>
        <d v="1899-12-30T00:01:12"/>
        <d v="1899-12-30T01:00:47"/>
        <d v="1899-12-30T00:01:51"/>
        <d v="1899-12-30T00:03:02"/>
        <d v="1899-12-30T00:02:01"/>
        <d v="1899-12-30T00:01:39"/>
        <d v="1899-12-30T00:32:29"/>
        <d v="1899-12-30T00:00:46"/>
        <d v="1899-12-30T00:01:46"/>
        <d v="1899-12-30T00:06:07"/>
        <d v="1899-12-30T00:02:46"/>
        <d v="1899-12-30T00:01:10"/>
        <d v="1899-12-30T00:05:55"/>
        <d v="1899-12-30T02:12:33"/>
        <d v="1899-12-30T00:18:36"/>
        <d v="1899-12-30T00:05:46"/>
        <d v="1899-12-30T00:11:34"/>
        <d v="1899-12-30T00:02:48"/>
        <d v="1899-12-30T01:01:57"/>
        <d v="1899-12-30T00:03:28"/>
        <d v="1899-12-30T00:10:00"/>
        <d v="1899-12-30T01:21:16"/>
        <d v="1899-12-30T01:30:48"/>
        <d v="1899-12-30T01:26:16"/>
        <d v="1899-12-30T00:35:45"/>
        <d v="1899-12-30T00:41:08"/>
        <d v="1899-12-30T00:05:42"/>
        <d v="1899-12-30T01:30:50"/>
        <d v="1899-12-30T01:34:00"/>
        <d v="1899-12-30T00:54:18"/>
        <d v="1899-12-30T00:39:23"/>
        <d v="1899-12-30T00:41:11"/>
        <d v="1899-12-30T00:32:40"/>
        <d v="1899-12-30T00:41:36"/>
        <d v="1899-12-30T00:37:49"/>
        <d v="1899-12-30T00:22:04"/>
        <d v="1899-12-30T00:28:12"/>
        <d v="1899-12-30T00:23:31"/>
        <d v="1899-12-30T00:31:36"/>
        <d v="1899-12-30T00:08:49"/>
        <d v="1899-12-30T00:11:23"/>
        <d v="1899-12-30T00:04:29"/>
        <d v="1899-12-30T00:46:14"/>
        <d v="1899-12-30T01:04:12"/>
        <d v="1899-12-30T00:40:24"/>
        <d v="1899-12-30T00:21:13"/>
        <d v="1899-12-30T00:48:06"/>
        <d v="1899-12-30T01:00:59"/>
        <d v="1899-12-30T00:31:39"/>
        <d v="1899-12-30T00:55:25"/>
        <d v="1899-12-30T00:50:51"/>
        <d v="1899-12-30T00:40:15"/>
        <d v="1899-12-30T00:22:54"/>
        <d v="1899-12-30T00:43:15"/>
        <d v="1899-12-30T00:19:44"/>
        <d v="1899-12-30T00:15:16"/>
        <d v="1899-12-30T00:34:38"/>
        <d v="1899-12-30T00:07:12"/>
        <d v="1899-12-30T00:29:16"/>
        <d v="1899-12-30T00:27:57"/>
        <d v="1899-12-30T00:18:09"/>
        <d v="1899-12-30T00:21:57"/>
        <d v="1899-12-30T00:27:15"/>
        <d v="1899-12-30T00:27:44"/>
        <d v="1899-12-30T00:20:41"/>
        <d v="1899-12-30T00:08:23"/>
        <d v="1899-12-30T00:34:15"/>
        <d v="1899-12-30T00:36:44"/>
        <d v="1899-12-30T00:23:55"/>
        <d v="1899-12-30T00:19:27"/>
        <d v="1899-12-30T00:31:53"/>
        <d v="1899-12-30T00:36:59"/>
        <d v="1899-12-30T00:28:24"/>
        <d v="1899-12-30T00:48:48"/>
        <d v="1899-12-30T00:33:46"/>
        <d v="1899-12-30T00:43:08"/>
        <d v="1899-12-30T00:18:33"/>
        <d v="1899-12-30T00:27:14"/>
        <d v="1899-12-30T00:34:23"/>
        <d v="1899-12-30T00:25:24"/>
        <d v="1899-12-30T00:17:36"/>
        <d v="1899-12-30T00:07:37"/>
        <d v="1899-12-30T00:07:42"/>
        <d v="1899-12-30T00:32:51"/>
        <d v="1899-12-30T00:56:56"/>
        <d v="1899-12-30T01:44:09"/>
        <d v="1899-12-30T01:41:33"/>
        <d v="1899-12-30T01:04:02"/>
        <d v="1899-12-30T01:05:29"/>
        <d v="1899-12-30T01:01:25"/>
        <d v="1899-12-30T01:00:36"/>
        <d v="1899-12-30T00:56:58"/>
        <d v="1899-12-30T01:05:28"/>
        <d v="1899-12-30T00:46:53"/>
        <d v="1899-12-30T00:48:04"/>
        <d v="1899-12-30T01:01:09"/>
        <d v="1899-12-30T01:57:35"/>
        <d v="1899-12-30T00:38:48"/>
        <d v="1899-12-30T01:02:10"/>
        <d v="1899-12-30T01:13:55"/>
        <d v="1899-12-30T01:37:57"/>
        <d v="1899-12-30T01:13:24"/>
      </sharedItems>
    </cacheField>
    <cacheField name="Posted Date" numFmtId="0">
      <sharedItems containsBlank="1"/>
    </cacheField>
    <cacheField name="Start" numFmtId="0">
      <sharedItems containsNonDate="0" containsDate="1" containsString="0" containsBlank="1" minDate="1899-12-30T00:00:00" maxDate="1899-12-30T01:58:25"/>
    </cacheField>
    <cacheField name="End" numFmtId="0">
      <sharedItems containsNonDate="0" containsDate="1" containsString="0" containsBlank="1" minDate="1899-12-30T00:01:16" maxDate="1899-12-30T02:05:04"/>
    </cacheField>
    <cacheField name="Clip Duration" numFmtId="0">
      <sharedItems containsNonDate="0" containsDate="1" containsString="0" containsBlank="1" minDate="1899-12-30T00:00:22" maxDate="1899-12-30T00:47:36"/>
    </cacheField>
    <cacheField name="Work Date" numFmtId="0">
      <sharedItems containsNonDate="0" containsDate="1" containsString="0" containsBlank="1" minDate="2017-09-11T00:00:00" maxDate="2017-10-10T00:00:00" count="17">
        <d v="2017-09-11T00:00:00"/>
        <d v="2017-09-12T00:00:00"/>
        <d v="2017-09-13T00:00:00"/>
        <m/>
        <d v="2017-09-30T00:00:00"/>
        <d v="2017-09-14T00:00:00"/>
        <d v="2017-10-04T00:00:00"/>
        <d v="2017-10-05T00:00:00"/>
        <d v="2017-10-06T00:00:00"/>
        <d v="2017-10-07T00:00:00"/>
        <d v="2017-10-08T00:00:00"/>
        <d v="2017-10-09T00:00:00"/>
        <d v="2017-09-19T00:00:00"/>
        <d v="2017-09-25T00:00:00"/>
        <d v="2017-10-01T00:00:00"/>
        <d v="2017-10-02T00:00:00"/>
        <d v="2017-09-29T00:00:00"/>
      </sharedItems>
      <fieldGroup base="15">
        <rangePr groupBy="days" startDate="2017-09-11T00:00:00" endDate="2017-10-10T00:00:00" groupInterval="7"/>
        <groupItems count="7">
          <s v="(blank)"/>
          <s v="11-09-17 - 17-09-17"/>
          <s v="18-09-17 - 24-09-17"/>
          <s v="25-09-17 - 01-10-17"/>
          <s v="02-10-17 - 08-10-17"/>
          <s v="09-10-17 - 10-10-17"/>
          <s v="&gt;10-10-17"/>
        </groupItems>
      </fieldGroup>
    </cacheField>
    <cacheField name="Clip URL" numFmtId="0">
      <sharedItems containsBlank="1"/>
    </cacheField>
    <cacheField name="Video Quality" numFmtId="0">
      <sharedItems containsBlank="1"/>
    </cacheField>
    <cacheField name="Audio Quality" numFmtId="0">
      <sharedItems containsBlank="1"/>
    </cacheField>
    <cacheField name="Content Quality"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02">
  <r>
    <n v="1"/>
    <x v="0"/>
    <m/>
    <s v="Done-Content"/>
    <s v="https://www.youtube.com/watch?v=RD7JpM4UrUA"/>
    <s v="&quot;Breaking India&quot; book launch - Swami Dayananda Saraswati - Part 1.wmv"/>
    <x v="0"/>
    <s v="Swami Dayananda Saraswati Ji is talking about the book and huge efforts of Rajiv Malhotra in writing this book. He talks about how people madely talking about invasion theory and trying to create conflict in the Indian society. Also talks about Saraswati River."/>
    <m/>
    <n v="7000"/>
    <x v="0"/>
    <s v="6 years ago"/>
    <m/>
    <m/>
    <m/>
    <x v="0"/>
    <m/>
    <s v="Good"/>
    <s v="Good"/>
    <s v="Good"/>
  </r>
  <r>
    <n v="2"/>
    <x v="0"/>
    <m/>
    <s v="Done-Content"/>
    <s v="https://www.youtube.com/watch?v=jKuCWHsoXmQ"/>
    <s v="Rajiv Malhotra's Book &quot;Breaking India&quot; Launch by Pujya Swami Dayananda Saraswati - Part 2"/>
    <x v="1"/>
    <s v="Majority feels prosecuted. Minority has privileges because of vote bank. Religion is transnational, so Hindus are minority in the world. Religious freedom leading to destruction of mind. Religious minority bluff has to be called. Dalit Samachart is invented recently. Destroying society in the name of religious freedom is not allowed."/>
    <m/>
    <n v="4000"/>
    <x v="1"/>
    <s v="6 years ago"/>
    <m/>
    <m/>
    <m/>
    <x v="0"/>
    <m/>
    <s v="Good"/>
    <s v="Good"/>
    <s v="Good"/>
  </r>
  <r>
    <n v="3"/>
    <x v="0"/>
    <m/>
    <s v="Done-Content"/>
    <s v="https://www.youtube.com/watch?v=21ZKFBL-Yc0"/>
    <s v="&quot;Breaking India&quot; book launch - Admiral Nayyar.wmv"/>
    <x v="2"/>
    <s v="Admiral Nayyar says we are product and prisoner of our time. In the name of tolerance we cannot afford to have another partition of this country as it happened in 1947"/>
    <m/>
    <n v="826"/>
    <x v="2"/>
    <s v="6 years ago"/>
    <m/>
    <m/>
    <m/>
    <x v="1"/>
    <m/>
    <s v="Good"/>
    <s v="Good"/>
    <s v="Good"/>
  </r>
  <r>
    <n v="4"/>
    <x v="0"/>
    <m/>
    <s v="Drop"/>
    <s v="https://www.youtube.com/watch?v=FytdS2vMJfU"/>
    <s v="Cho Ramaswamy - &quot;Breaking India&quot; Book Launch"/>
    <x v="3"/>
    <m/>
    <m/>
    <n v="10000"/>
    <x v="3"/>
    <s v="6 years ago"/>
    <m/>
    <m/>
    <m/>
    <x v="1"/>
    <m/>
    <s v="Good"/>
    <s v="Good"/>
    <s v="No Msg"/>
  </r>
  <r>
    <n v="5"/>
    <x v="0"/>
    <m/>
    <s v="Drop"/>
    <s v="https://www.youtube.com/watch?v=7WsGnkGob7A"/>
    <s v="&quot;Breaking India&quot; Launch Ritual"/>
    <x v="4"/>
    <s v="NR"/>
    <m/>
    <n v="749"/>
    <x v="4"/>
    <s v="6 years ago"/>
    <m/>
    <m/>
    <m/>
    <x v="1"/>
    <m/>
    <s v="Good"/>
    <s v="Good"/>
    <s v="No Msg"/>
  </r>
  <r>
    <n v="6"/>
    <x v="0"/>
    <m/>
    <s v="Drop"/>
    <s v="https://www.youtube.com/watch?v=WU456HIXN5U"/>
    <s v="S. Ramachandran - &quot;Breaking India&quot; Book Launch"/>
    <x v="5"/>
    <m/>
    <m/>
    <n v="1700"/>
    <x v="5"/>
    <s v="6 years ago"/>
    <m/>
    <m/>
    <m/>
    <x v="1"/>
    <m/>
    <s v="Good"/>
    <s v="Good"/>
    <s v="Good"/>
  </r>
  <r>
    <n v="7"/>
    <x v="0"/>
    <m/>
    <s v="Done-Content"/>
    <s v="https://www.youtube.com/watch?v=PcNDlU0LyJk"/>
    <s v="S. Gurumurthy - Chennai Launch of &quot;Breaking India&quot;"/>
    <x v="6"/>
    <m/>
    <m/>
    <n v="5100"/>
    <x v="6"/>
    <s v="6 years ago"/>
    <m/>
    <m/>
    <m/>
    <x v="1"/>
    <m/>
    <s v="Good"/>
    <s v="Good"/>
    <s v="Good"/>
  </r>
  <r>
    <n v="8"/>
    <x v="0"/>
    <m/>
    <s v="Done-Content"/>
    <s v="https://www.youtube.com/watch?v=mjFek0gF97s"/>
    <s v="The Authors Discuss Breaking India"/>
    <x v="7"/>
    <s v="Three international nexuses 1- Bahabism vs Indian Islam, 2- China &amp; Maoism 3-Dalit &amp; Christianity are discussed. Dravidian Christianity is also discussed. How can we be model of diversity is being discussed."/>
    <m/>
    <n v="1900"/>
    <x v="7"/>
    <s v="6 years ago"/>
    <m/>
    <m/>
    <m/>
    <x v="1"/>
    <m/>
    <s v="Average"/>
    <s v="Good"/>
    <s v="Good"/>
  </r>
  <r>
    <n v="8.01"/>
    <x v="0"/>
    <m/>
    <s v="Done-Content"/>
    <m/>
    <m/>
    <x v="8"/>
    <m/>
    <m/>
    <m/>
    <x v="8"/>
    <m/>
    <d v="1899-12-30T00:02:55"/>
    <d v="1899-12-30T00:05:49"/>
    <d v="1899-12-30T00:02:54"/>
    <x v="1"/>
    <s v="https://www.youtube.com/embed/mjFek0gF97s?start=175&amp;end=349&amp;autoplay=1"/>
    <s v="Good"/>
    <s v="Average"/>
    <s v="Good"/>
  </r>
  <r>
    <n v="9"/>
    <x v="0"/>
    <m/>
    <s v="Done-Content"/>
    <s v="https://www.youtube.com/watch?v=0_EJXPWJN4E"/>
    <s v="&quot;Breaking India&quot; Panel #1"/>
    <x v="9"/>
    <s v="Book touches social, cultural narrative. It is not political."/>
    <m/>
    <n v="1700"/>
    <x v="9"/>
    <s v="6 years ago"/>
    <m/>
    <m/>
    <m/>
    <x v="1"/>
    <m/>
    <s v="Good"/>
    <s v="Good"/>
    <s v="Good"/>
  </r>
  <r>
    <n v="10"/>
    <x v="0"/>
    <m/>
    <s v="Done-Content"/>
    <s v="https://www.youtube.com/watch?v=Kxuiy8OL30w"/>
    <s v="&quot;Breaking India&quot; Panel #6"/>
    <x v="10"/>
    <s v="Jesus, Vedic culture &amp; diversity"/>
    <m/>
    <n v="490"/>
    <x v="10"/>
    <s v="6 years ago"/>
    <m/>
    <m/>
    <m/>
    <x v="1"/>
    <m/>
    <s v="Good"/>
    <s v="Good"/>
    <s v="Good"/>
  </r>
  <r>
    <n v="10.01"/>
    <x v="0"/>
    <m/>
    <s v="Done-Content"/>
    <m/>
    <m/>
    <x v="11"/>
    <m/>
    <m/>
    <m/>
    <x v="8"/>
    <m/>
    <d v="1899-12-30T00:01:29"/>
    <d v="1899-12-30T00:02:05"/>
    <d v="1899-12-30T00:00:36"/>
    <x v="1"/>
    <s v="https://www.youtube.com/embed/Kxuiy8OL30w?start=89&amp;end=125&amp;autoplay=1"/>
    <s v="Good"/>
    <s v="Good"/>
    <s v="Good"/>
  </r>
  <r>
    <n v="11"/>
    <x v="0"/>
    <m/>
    <s v="Done-Content"/>
    <s v="https://www.youtube.com/watch?v=jMgGGixmfus"/>
    <s v="&quot;Breaking India&quot; panel # 4"/>
    <x v="12"/>
    <s v="Dravidian movement is racist idea of social reforms and does not deliver justice to the all section of society."/>
    <m/>
    <n v="551"/>
    <x v="11"/>
    <s v="6 years ago"/>
    <m/>
    <m/>
    <m/>
    <x v="2"/>
    <m/>
    <s v="Good"/>
    <s v="Good"/>
    <s v="Good"/>
  </r>
  <r>
    <n v="12"/>
    <x v="0"/>
    <m/>
    <s v="Done-Content"/>
    <s v="https://www.youtube.com/watch?v=2UnJMns3fjs"/>
    <s v="&quot;Breaking India&quot; panel #8"/>
    <x v="13"/>
    <s v="Digesting Hinduism into Dravidian Christianity"/>
    <m/>
    <n v="384"/>
    <x v="12"/>
    <s v="6 years ago"/>
    <m/>
    <m/>
    <m/>
    <x v="2"/>
    <m/>
    <s v="Good"/>
    <s v="Good"/>
    <s v="Good"/>
  </r>
  <r>
    <n v="13"/>
    <x v="0"/>
    <m/>
    <s v="Done-Content"/>
    <s v="https://www.youtube.com/watch?v=KVDRl_wLqdM"/>
    <s v="&quot;Breaking India&quot; panel #5"/>
    <x v="14"/>
    <s v="How white vs black theory of racism being created in India."/>
    <m/>
    <n v="1500"/>
    <x v="13"/>
    <s v="6 years ago"/>
    <m/>
    <m/>
    <m/>
    <x v="2"/>
    <m/>
    <s v="Good"/>
    <s v="Good"/>
    <s v="Good"/>
  </r>
  <r>
    <n v="14"/>
    <x v="0"/>
    <m/>
    <s v="Done-Content"/>
    <s v="https://www.youtube.com/watch?v=Smd_3o5vtLo"/>
    <s v="&quot;Breaking India&quot; Panel #2"/>
    <x v="15"/>
    <m/>
    <m/>
    <n v="595"/>
    <x v="14"/>
    <s v="6 years ago"/>
    <m/>
    <m/>
    <m/>
    <x v="2"/>
    <m/>
    <s v="Good"/>
    <s v="Good"/>
    <s v="Good"/>
  </r>
  <r>
    <n v="15"/>
    <x v="0"/>
    <m/>
    <s v="Done-Content"/>
    <s v="https://www.youtube.com/watch?v=iBwpK4_JtEw"/>
    <s v="&quot;Breaking India&quot; Panel #3"/>
    <x v="16"/>
    <m/>
    <m/>
    <n v="477"/>
    <x v="15"/>
    <s v="6 years ago"/>
    <m/>
    <m/>
    <m/>
    <x v="2"/>
    <m/>
    <s v="Good"/>
    <s v="Good"/>
    <s v="Good"/>
  </r>
  <r>
    <n v="16"/>
    <x v="0"/>
    <m/>
    <s v="Done-Content"/>
    <s v="https://www.youtube.com/watch?v=NCOKqHoIW7M"/>
    <s v="&quot;Breaking India&quot; Panel #7"/>
    <x v="17"/>
    <s v="St Thomas came to Pakistan area not South of India. Even after 200 years of death of Jesus Kerala has only 8 families. In 1816 Kerala had 35000 christians and 55 churches, 19600 temples. In 1876 Temples reduced to 962 Churches &gt; 1000. During freedom fight kerala churches was praying for British Govt. Churches are opportunists. In order to convert Brahmins into christianity a paadri from Italy came and settled in Madurai, learned sanskrit, translated bible into sanskrit and started church prayers in sanskrit."/>
    <m/>
    <n v="506"/>
    <x v="16"/>
    <s v="6 years ago"/>
    <m/>
    <m/>
    <m/>
    <x v="2"/>
    <m/>
    <s v="Good"/>
    <s v="Good"/>
    <s v="Good"/>
  </r>
  <r>
    <n v="17"/>
    <x v="1"/>
    <m/>
    <m/>
    <s v="https://www.youtube.com/watch?v=tkF_3Ixn02I"/>
    <s v="&quot;Breaking India&quot; Panel #9"/>
    <x v="18"/>
    <m/>
    <m/>
    <n v="343"/>
    <x v="17"/>
    <s v="6 years ago"/>
    <m/>
    <m/>
    <m/>
    <x v="3"/>
    <m/>
    <m/>
    <m/>
    <m/>
  </r>
  <r>
    <n v="18"/>
    <x v="1"/>
    <m/>
    <m/>
    <s v="https://www.youtube.com/watch?v=0Y3z-QStbk8"/>
    <s v="&quot;Breaking India&quot; panel #11"/>
    <x v="18"/>
    <m/>
    <m/>
    <n v="1000"/>
    <x v="18"/>
    <s v="6 years ago"/>
    <m/>
    <m/>
    <m/>
    <x v="3"/>
    <m/>
    <m/>
    <m/>
    <m/>
  </r>
  <r>
    <n v="19"/>
    <x v="1"/>
    <m/>
    <m/>
    <s v="https://www.youtube.com/watch?v=Wpkt3HpzBTs"/>
    <s v="&quot;Breaking India&quot; panel #10"/>
    <x v="18"/>
    <m/>
    <m/>
    <n v="378"/>
    <x v="19"/>
    <s v="6 years ago"/>
    <m/>
    <m/>
    <m/>
    <x v="3"/>
    <m/>
    <m/>
    <m/>
    <m/>
  </r>
  <r>
    <n v="20"/>
    <x v="2"/>
    <m/>
    <s v="Done-Content"/>
    <s v="https://www.youtube.com/watch?v=_IcfDP-ezpo"/>
    <s v="Princeton University: Talk by Rajiv Malhotra - Part 1"/>
    <x v="18"/>
    <m/>
    <m/>
    <n v="8500"/>
    <x v="20"/>
    <s v="6 years ago"/>
    <m/>
    <m/>
    <m/>
    <x v="1"/>
    <m/>
    <m/>
    <m/>
    <m/>
  </r>
  <r>
    <n v="20.010000000000002"/>
    <x v="2"/>
    <m/>
    <s v="Done-Content"/>
    <m/>
    <m/>
    <x v="19"/>
    <s v="RM reveals how foreign NGOs are systematically working towards breaking India."/>
    <m/>
    <m/>
    <x v="8"/>
    <m/>
    <d v="1899-12-30T00:00:50"/>
    <d v="1899-12-30T00:04:40"/>
    <d v="1899-12-30T00:03:50"/>
    <x v="1"/>
    <s v="https://www.youtube.com/embed/_IcfDP-ezpo?start=50&amp;end=280&amp;autoplay=1"/>
    <s v="Good"/>
    <s v="Bad"/>
    <s v="Good"/>
  </r>
  <r>
    <n v="20.02"/>
    <x v="2"/>
    <m/>
    <s v="Done-Content"/>
    <m/>
    <m/>
    <x v="20"/>
    <s v="Aryan theory, Dravidian theory, Dravidian Christianity, Appropriation of Mahabharata etc into Christian frameworks"/>
    <m/>
    <m/>
    <x v="8"/>
    <m/>
    <d v="1899-12-30T00:04:40"/>
    <d v="1899-12-30T00:08:19"/>
    <d v="1899-12-30T00:03:39"/>
    <x v="1"/>
    <s v="https://www.youtube.com/embed/_IcfDP-ezpo?start=280&amp;end=499&amp;autoplay=1"/>
    <s v="Good"/>
    <s v="Bad"/>
    <s v="Good"/>
  </r>
  <r>
    <n v="20.03"/>
    <x v="2"/>
    <m/>
    <s v="Done-Content"/>
    <m/>
    <m/>
    <x v="21"/>
    <s v="How missionaries use religion and human rights as pretext to promote their conversion agenda"/>
    <m/>
    <m/>
    <x v="8"/>
    <m/>
    <d v="1899-12-30T00:08:19"/>
    <d v="1899-12-30T00:10:20"/>
    <d v="1899-12-30T00:02:01"/>
    <x v="1"/>
    <s v="https://www.youtube.com/embed/_IcfDP-ezpo?start=499&amp;end=620&amp;autoplay=1"/>
    <s v="Good"/>
    <s v="Bad"/>
    <s v="Good"/>
  </r>
  <r>
    <n v="21"/>
    <x v="1"/>
    <m/>
    <m/>
    <s v="https://www.youtube.com/watch?v=DMG2XD9_nTI"/>
    <s v="Princeton University: Introduction by Vineet Chander"/>
    <x v="18"/>
    <m/>
    <m/>
    <n v="3200"/>
    <x v="21"/>
    <s v="6 years ago"/>
    <m/>
    <m/>
    <m/>
    <x v="3"/>
    <m/>
    <m/>
    <m/>
    <m/>
  </r>
  <r>
    <n v="22"/>
    <x v="2"/>
    <m/>
    <s v="Done-Content"/>
    <s v="https://www.youtube.com/watch?v=Uq2PJjcHiqI"/>
    <s v="Princeton University: Talk by Rajiv Malhotra - Part 2"/>
    <x v="18"/>
    <m/>
    <m/>
    <n v="4900"/>
    <x v="22"/>
    <s v="6 years ago"/>
    <m/>
    <m/>
    <m/>
    <x v="1"/>
    <m/>
    <m/>
    <m/>
    <m/>
  </r>
  <r>
    <n v="22.01"/>
    <x v="2"/>
    <m/>
    <s v="Done-Content"/>
    <m/>
    <m/>
    <x v="22"/>
    <s v="Ambedkar was opposed to conversion as he believed this would break up the unity of India owing to the foreign hands involved."/>
    <m/>
    <m/>
    <x v="8"/>
    <m/>
    <d v="1899-12-30T00:00:00"/>
    <d v="1899-12-30T00:01:42"/>
    <d v="1899-12-30T00:01:42"/>
    <x v="1"/>
    <s v="https://www.youtube.com/embed/Uq2PJjcHiqI?start=0&amp;end=102&amp;autoplay=1"/>
    <s v="Good"/>
    <s v="Bad"/>
    <s v="Good"/>
  </r>
  <r>
    <n v="22.02"/>
    <x v="2"/>
    <m/>
    <s v="Done-Content"/>
    <m/>
    <m/>
    <x v="23"/>
    <s v="When Indian convert to Christianity, irrespective of the reasons behind it they tend to distance themselves from the indigenous culture and practices slowly. Instead they develop their own clique encouraged by the perpetrators of conversion."/>
    <m/>
    <m/>
    <x v="8"/>
    <m/>
    <d v="1899-12-30T00:01:42"/>
    <d v="1899-12-30T00:04:28"/>
    <d v="1899-12-30T00:02:46"/>
    <x v="1"/>
    <s v="https://www.youtube.com/embed/Uq2PJjcHiqI?start=102&amp;end=268&amp;autoplay=1"/>
    <s v="Good"/>
    <s v="Bad"/>
    <s v="Good"/>
  </r>
  <r>
    <n v="22.03"/>
    <x v="2"/>
    <m/>
    <s v="Done-Content"/>
    <m/>
    <m/>
    <x v="24"/>
    <s v="The improvement in the conditions of Dalits was due to the excellent initiatives from the Government of India and not because of conversion as is wrongly believed."/>
    <m/>
    <m/>
    <x v="8"/>
    <m/>
    <d v="1899-12-30T00:04:28"/>
    <d v="1899-12-30T00:06:41"/>
    <d v="1899-12-30T00:02:13"/>
    <x v="1"/>
    <s v="https://www.youtube.com/embed/Uq2PJjcHiqI?start=268&amp;end=401&amp;autoplay=1"/>
    <s v="Good"/>
    <s v="Bad"/>
    <s v="Good"/>
  </r>
  <r>
    <n v="22.04"/>
    <x v="2"/>
    <m/>
    <s v="Done-Content"/>
    <m/>
    <m/>
    <x v="25"/>
    <s v="RM reveals how foreign NGOs are systematically working towards breaking India. He gives specific examples to illustrate his point."/>
    <m/>
    <m/>
    <x v="8"/>
    <m/>
    <d v="1899-12-30T00:06:41"/>
    <d v="1899-12-30T00:10:23"/>
    <d v="1899-12-30T00:03:42"/>
    <x v="1"/>
    <s v="https://www.youtube.com/embed/Uq2PJjcHiqI?start=401&amp;end=623&amp;autoplay=1"/>
    <s v="Good"/>
    <s v="Bad"/>
    <s v="Good"/>
  </r>
  <r>
    <n v="22.05"/>
    <x v="2"/>
    <m/>
    <s v="Done-Content"/>
    <m/>
    <m/>
    <x v="26"/>
    <s v="Christian media worldwide orchestrate efforts to deliberately project India as a country where all sort of atrocities occur."/>
    <m/>
    <m/>
    <x v="8"/>
    <m/>
    <d v="1899-12-30T00:10:23"/>
    <d v="1899-12-30T00:11:03"/>
    <d v="1899-12-30T00:00:40"/>
    <x v="1"/>
    <s v="https://www.youtube.com/embed/Uq2PJjcHiqI?start=623&amp;end=663&amp;autoplay=1"/>
    <s v="Good"/>
    <s v="Bad"/>
    <s v="Good"/>
  </r>
  <r>
    <n v="22.06"/>
    <x v="2"/>
    <m/>
    <s v="Done-Content"/>
    <m/>
    <m/>
    <x v="27"/>
    <s v="RM argues that we need to relook at the way we define minorities. It should be viewed in the light that certain minorities are governed by foreign players and hence definitely not be considered as a minority."/>
    <m/>
    <m/>
    <x v="8"/>
    <m/>
    <d v="1899-12-30T00:11:04"/>
    <d v="1899-12-30T00:13:22"/>
    <d v="1899-12-30T00:02:18"/>
    <x v="1"/>
    <s v="https://www.youtube.com/embed/Uq2PJjcHiqI?start=664&amp;end=802&amp;autoplay=1"/>
    <s v="Good"/>
    <s v="Bad"/>
    <s v="Good"/>
  </r>
  <r>
    <n v="23"/>
    <x v="2"/>
    <m/>
    <s v="Done-Content"/>
    <s v="https://www.youtube.com/watch?v=5LJPOCxc3E8"/>
    <s v="Princeton University: Talk by Rajiv Malhotra - Part 3"/>
    <x v="18"/>
    <m/>
    <m/>
    <n v="3600"/>
    <x v="23"/>
    <s v="6 years ago"/>
    <m/>
    <m/>
    <m/>
    <x v="2"/>
    <m/>
    <m/>
    <m/>
    <m/>
  </r>
  <r>
    <n v="23.01"/>
    <x v="2"/>
    <m/>
    <s v="Done-Content"/>
    <m/>
    <m/>
    <x v="28"/>
    <s v="There is a steady stream of Christian propaganda from foreign controlled sources with good credentials."/>
    <m/>
    <m/>
    <x v="8"/>
    <m/>
    <d v="1899-12-30T00:00:00"/>
    <d v="1899-12-30T00:02:11"/>
    <d v="1899-12-30T00:02:11"/>
    <x v="2"/>
    <s v="https://www.youtube.com/embed/5LJPOCxc3E8?start=0&amp;end=131&amp;autoplay=1"/>
    <m/>
    <m/>
    <m/>
  </r>
  <r>
    <n v="23.02"/>
    <x v="2"/>
    <m/>
    <s v="Done-Content"/>
    <m/>
    <m/>
    <x v="29"/>
    <s v="Christians in the West are more liberal in their thinking and open to many ideas. Whereas this kind of thinking will not sell the conversion agenda in India and instead a more radical approach is propagated."/>
    <m/>
    <m/>
    <x v="8"/>
    <m/>
    <d v="1899-12-30T00:02:11"/>
    <d v="1899-12-30T00:05:53"/>
    <d v="1899-12-30T00:03:42"/>
    <x v="2"/>
    <s v="https://www.youtube.com/embed/5LJPOCxc3E8?start=131&amp;end=353&amp;autoplay=1"/>
    <m/>
    <m/>
    <m/>
  </r>
  <r>
    <n v="23.03"/>
    <x v="2"/>
    <m/>
    <s v="Done-Content"/>
    <m/>
    <m/>
    <x v="30"/>
    <s v="Foreign policy makers in the US need to rethink the Christianity agenda in India. The earlier thinking of dividing India based on religion should be changed."/>
    <m/>
    <m/>
    <x v="8"/>
    <m/>
    <d v="1899-12-30T00:05:58"/>
    <d v="1899-12-30T00:10:39"/>
    <d v="1899-12-30T00:04:41"/>
    <x v="2"/>
    <s v="https://www.youtube.com/embed/5LJPOCxc3E8?start=358&amp;end=639&amp;autoplay=1"/>
    <m/>
    <m/>
    <m/>
  </r>
  <r>
    <n v="24"/>
    <x v="2"/>
    <m/>
    <s v="Done-Content"/>
    <s v="https://www.youtube.com/watch?v=LdrmgXtd_rs"/>
    <s v="Princeton University: Talk by Reverend Thompson - Part 1"/>
    <x v="31"/>
    <m/>
    <m/>
    <n v="2400"/>
    <x v="24"/>
    <s v="6 years ago"/>
    <m/>
    <m/>
    <m/>
    <x v="4"/>
    <m/>
    <m/>
    <m/>
    <m/>
  </r>
  <r>
    <n v="24.01"/>
    <x v="2"/>
    <m/>
    <s v="Done-Content"/>
    <m/>
    <m/>
    <x v="32"/>
    <s v="Rev. Thompson says conversion is a religious right and dismisses claims of forcible conversion"/>
    <m/>
    <m/>
    <x v="8"/>
    <m/>
    <d v="1899-12-30T00:02:03"/>
    <d v="1899-12-30T00:02:49"/>
    <d v="1899-12-30T00:00:46"/>
    <x v="4"/>
    <s v="https://www.youtube.com/embed/LdrmgXtd_rs?start=123&amp;end=169&amp;autoplay=1"/>
    <s v="Good"/>
    <s v="Bad"/>
    <s v="Bad"/>
  </r>
  <r>
    <n v="24.02"/>
    <x v="2"/>
    <m/>
    <s v="Done-Content"/>
    <m/>
    <m/>
    <x v="33"/>
    <s v="Rev. Thompson explains why his family converted to Christianity from being a Hindu; social oppression owing to belonging to a lower caste is his reasoning"/>
    <m/>
    <m/>
    <x v="8"/>
    <m/>
    <d v="1899-12-30T00:03:43"/>
    <d v="1899-12-30T00:07:52"/>
    <d v="1899-12-30T00:04:09"/>
    <x v="4"/>
    <s v="https://www.youtube.com/embed/LdrmgXtd_rs?start=223&amp;end=472&amp;autoplay=1"/>
    <m/>
    <m/>
    <m/>
  </r>
  <r>
    <n v="24.03"/>
    <x v="2"/>
    <m/>
    <s v="Done-Content"/>
    <m/>
    <m/>
    <x v="34"/>
    <s v="Rev. Thompson gives the example of the Tamil movie Parashakti where Brahmins are cast in the worst light possible. This movie was a super hit and made Sivaji Ganesan a superstar"/>
    <m/>
    <m/>
    <x v="8"/>
    <m/>
    <d v="1899-12-30T00:07:52"/>
    <d v="1899-12-30T00:09:32"/>
    <d v="1899-12-30T00:01:40"/>
    <x v="4"/>
    <s v="https://www.youtube.com/embed/LdrmgXtd_rs?start=472&amp;end=572&amp;autoplay=1"/>
    <m/>
    <m/>
    <m/>
  </r>
  <r>
    <n v="24.04"/>
    <x v="2"/>
    <m/>
    <s v="Done-Content"/>
    <m/>
    <m/>
    <x v="35"/>
    <s v="Rev. Thompson cites the work of a few historians to support the theory that Dravidians were the original inhabitants of the Indus valley civilization"/>
    <m/>
    <m/>
    <x v="8"/>
    <m/>
    <d v="1899-12-30T00:09:32"/>
    <d v="1899-12-30T00:11:52"/>
    <d v="1899-12-30T00:02:20"/>
    <x v="4"/>
    <s v="https://www.youtube.com/embed/LdrmgXtd_rs?start=572&amp;end=712&amp;autoplay=1"/>
    <m/>
    <m/>
    <m/>
  </r>
  <r>
    <n v="25"/>
    <x v="2"/>
    <m/>
    <s v="Done-Content"/>
    <s v="https://www.youtube.com/watch?v=gbWoqwJKhbM"/>
    <s v="Princeton University: Talk by Reverend Thompson - Part 2"/>
    <x v="18"/>
    <m/>
    <m/>
    <n v="2100"/>
    <x v="25"/>
    <s v="6 years ago"/>
    <m/>
    <m/>
    <m/>
    <x v="4"/>
    <m/>
    <m/>
    <m/>
    <m/>
  </r>
  <r>
    <n v="25.01"/>
    <x v="2"/>
    <m/>
    <s v="Done-Content"/>
    <m/>
    <m/>
    <x v="35"/>
    <s v="Rev. Thompson continues with his argument that Dravidians were the superior race and Aryans borrowed many of the original ideas of Dravidians. Aryans brought about the caste system."/>
    <m/>
    <m/>
    <x v="8"/>
    <m/>
    <d v="1899-12-30T00:00:02"/>
    <d v="1899-12-30T00:08:44"/>
    <d v="1899-12-30T00:08:42"/>
    <x v="4"/>
    <s v="https://www.youtube.com/embed/gbWoqwJKhbM?start=2&amp;end=524&amp;autoplay=1"/>
    <s v="Good"/>
    <s v="Bad"/>
    <s v="Bad"/>
  </r>
  <r>
    <n v="26"/>
    <x v="2"/>
    <m/>
    <s v="Done-Content"/>
    <s v="https://www.youtube.com/watch?v=RdBz1kIwrqo"/>
    <s v="Princeton University: Questions and Answers - Part 1"/>
    <x v="18"/>
    <m/>
    <m/>
    <n v="14000"/>
    <x v="26"/>
    <s v="6 years ago"/>
    <m/>
    <m/>
    <m/>
    <x v="2"/>
    <m/>
    <m/>
    <m/>
    <m/>
  </r>
  <r>
    <n v="26.01"/>
    <x v="2"/>
    <m/>
    <s v="Done-Content"/>
    <m/>
    <m/>
    <x v="23"/>
    <s v="The systematic approach to converting people to Christianity in India is objectionable."/>
    <m/>
    <m/>
    <x v="8"/>
    <m/>
    <d v="1899-12-30T00:01:20"/>
    <d v="1899-12-30T00:04:18"/>
    <d v="1899-12-30T00:02:58"/>
    <x v="2"/>
    <s v="https://www.youtube.com/embed/RdBz1kIwrqo?start=80&amp;end=258&amp;autoplay=1"/>
    <m/>
    <m/>
    <m/>
  </r>
  <r>
    <n v="26.02"/>
    <x v="2"/>
    <m/>
    <s v="Done-Content"/>
    <m/>
    <m/>
    <x v="36"/>
    <s v="Rev. Thompson's response is that not all churches aim to convert people. Only a narrow-minded set of Christians refuse to acknowledge other religions."/>
    <m/>
    <m/>
    <x v="8"/>
    <m/>
    <d v="1899-12-30T00:04:26"/>
    <d v="1899-12-30T00:06:41"/>
    <d v="1899-12-30T00:02:15"/>
    <x v="2"/>
    <s v="https://www.youtube.com/embed/RdBz1kIwrqo?start=266&amp;end=401&amp;autoplay=1"/>
    <m/>
    <m/>
    <m/>
  </r>
  <r>
    <n v="26.03"/>
    <x v="2"/>
    <m/>
    <s v="Done-Content"/>
    <m/>
    <m/>
    <x v="37"/>
    <s v="In pockets of India which have a Christian majority, they have an issue in co-existing with Hindus and in fact turn violent against them."/>
    <m/>
    <m/>
    <x v="8"/>
    <m/>
    <d v="1899-12-30T00:09:23"/>
    <d v="1899-12-30T00:10:46"/>
    <d v="1899-12-30T00:01:23"/>
    <x v="2"/>
    <s v="https://www.youtube.com/embed/RdBz1kIwrqo?start=563&amp;end=646&amp;autoplay=1"/>
    <m/>
    <m/>
    <m/>
  </r>
  <r>
    <n v="27"/>
    <x v="2"/>
    <m/>
    <s v="Done-Content"/>
    <s v="https://www.youtube.com/watch?v=WsjxXfklatk"/>
    <s v="Princeton University: Questions and Answers Unfortunate Incident"/>
    <x v="18"/>
    <m/>
    <m/>
    <n v="15000"/>
    <x v="27"/>
    <s v="6 years ago"/>
    <m/>
    <m/>
    <m/>
    <x v="2"/>
    <m/>
    <m/>
    <m/>
    <m/>
  </r>
  <r>
    <n v="28"/>
    <x v="2"/>
    <m/>
    <s v="Done-Content"/>
    <s v="https://www.youtube.com/watch?v=N0PD3TuLvoo"/>
    <s v="Princeton University: Questions and Answers - Part 2"/>
    <x v="18"/>
    <m/>
    <m/>
    <n v="9300"/>
    <x v="28"/>
    <s v="6 years ago"/>
    <m/>
    <m/>
    <m/>
    <x v="2"/>
    <m/>
    <m/>
    <m/>
    <m/>
  </r>
  <r>
    <n v="28.01"/>
    <x v="2"/>
    <m/>
    <s v="Done-Content"/>
    <m/>
    <m/>
    <x v="38"/>
    <s v="Christianity practiced without an institutionalized approach to conversion is not a problem. It is only when it is thrust upon the people and Hindus protest that tension arises."/>
    <m/>
    <m/>
    <x v="8"/>
    <m/>
    <d v="1899-12-30T00:00:00"/>
    <d v="1899-12-30T00:01:16"/>
    <d v="1899-12-30T00:01:16"/>
    <x v="2"/>
    <s v="https://www.youtube.com/embed/N0PD3TuLvoo?start=0&amp;end=76&amp;autoplay=1"/>
    <m/>
    <m/>
    <m/>
  </r>
  <r>
    <n v="28.02"/>
    <x v="2"/>
    <m/>
    <s v="Done-Content"/>
    <m/>
    <m/>
    <x v="39"/>
    <s v="Rev. Thompson's views on whether reservation based college admissions influences conversions."/>
    <m/>
    <m/>
    <x v="8"/>
    <m/>
    <d v="1899-12-30T00:01:17"/>
    <d v="1899-12-30T00:03:04"/>
    <d v="1899-12-30T00:01:47"/>
    <x v="2"/>
    <s v="https://www.youtube.com/embed/N0PD3TuLvoo?start=77&amp;end=184&amp;autoplay=1"/>
    <m/>
    <m/>
    <m/>
  </r>
  <r>
    <n v="28.03"/>
    <x v="2"/>
    <m/>
    <s v="Done-Content"/>
    <m/>
    <m/>
    <x v="40"/>
    <s v="Conversion implies that Christianity believes it is superior to other religions. Rev. Thompson responds to a question on that."/>
    <m/>
    <m/>
    <x v="8"/>
    <m/>
    <d v="1899-12-30T00:03:17"/>
    <d v="1899-12-30T00:05:04"/>
    <d v="1899-12-30T00:01:47"/>
    <x v="2"/>
    <s v="https://www.youtube.com/embed/N0PD3TuLvoo?start=197&amp;end=304&amp;autoplay=1"/>
    <m/>
    <m/>
    <m/>
  </r>
  <r>
    <n v="28.04"/>
    <x v="2"/>
    <m/>
    <s v="Done-Content"/>
    <m/>
    <m/>
    <x v="41"/>
    <s v="RM explains the methodology used to arrive at the conclusion that there is a large scale orchestration effort based in the US to promote the conversion agenda."/>
    <m/>
    <m/>
    <x v="8"/>
    <m/>
    <d v="1899-12-30T00:05:04"/>
    <d v="1899-12-30T00:08:47"/>
    <d v="1899-12-30T00:03:43"/>
    <x v="2"/>
    <s v="https://www.youtube.com/embed/N0PD3TuLvoo?start=304&amp;end=527&amp;autoplay=1"/>
    <m/>
    <m/>
    <m/>
  </r>
  <r>
    <n v="29"/>
    <x v="2"/>
    <m/>
    <s v="Done-Content"/>
    <s v="https://www.youtube.com/watch?v=C3_6Ub1GnfA"/>
    <s v="Princeton University: Response by Rajiv Malhotra to Reverend Thompson"/>
    <x v="18"/>
    <m/>
    <m/>
    <n v="35000"/>
    <x v="29"/>
    <s v="6 years ago"/>
    <m/>
    <m/>
    <m/>
    <x v="5"/>
    <m/>
    <m/>
    <m/>
    <m/>
  </r>
  <r>
    <n v="29.01"/>
    <x v="2"/>
    <m/>
    <s v="Done-Content"/>
    <m/>
    <m/>
    <x v="19"/>
    <s v="RM presents examples of books written by Western authors on the propagation of Christianity by the US."/>
    <m/>
    <m/>
    <x v="8"/>
    <m/>
    <d v="1899-12-30T00:00:00"/>
    <d v="1899-12-30T00:03:31"/>
    <d v="1899-12-30T00:03:31"/>
    <x v="5"/>
    <s v="https://www.youtube.com/embed/C3_6Ub1GnfA?start=0&amp;end=211&amp;autoplay=1"/>
    <m/>
    <m/>
    <m/>
  </r>
  <r>
    <n v="29.02"/>
    <x v="2"/>
    <m/>
    <s v="Done-Content"/>
    <m/>
    <m/>
    <x v="36"/>
    <s v="Christianity does not believe in pluralism unlike Hinduism and this therefore reduces diversity. Religious freedom is curtailed when you join a religion of exclusivity such as CHristianity."/>
    <m/>
    <m/>
    <x v="8"/>
    <m/>
    <d v="1899-12-30T00:03:31"/>
    <d v="1899-12-30T00:07:10"/>
    <d v="1899-12-30T00:03:39"/>
    <x v="5"/>
    <s v="https://www.youtube.com/embed/C3_6Ub1GnfA?start=211&amp;end=430&amp;autoplay=1"/>
    <m/>
    <m/>
    <m/>
  </r>
  <r>
    <n v="29.03"/>
    <x v="2"/>
    <m/>
    <s v="Done-Content"/>
    <m/>
    <m/>
    <x v="42"/>
    <s v="Christianity in India has a thriving caste system built into it. It is a myth that Christianity has overcome the caste problem."/>
    <m/>
    <m/>
    <x v="8"/>
    <m/>
    <d v="1899-12-30T00:07:11"/>
    <d v="1899-12-30T00:08:40"/>
    <d v="1899-12-30T00:01:29"/>
    <x v="5"/>
    <s v="https://www.youtube.com/embed/C3_6Ub1GnfA?start=431&amp;end=520&amp;autoplay=1"/>
    <m/>
    <m/>
    <m/>
  </r>
  <r>
    <n v="29.04"/>
    <x v="2"/>
    <m/>
    <s v="Done-Content"/>
    <m/>
    <m/>
    <x v="43"/>
    <s v="Buddhism in India flourished for nearly 1000 years in India before its decline."/>
    <m/>
    <m/>
    <x v="8"/>
    <m/>
    <d v="1899-12-30T00:08:58"/>
    <d v="1899-12-30T00:09:49"/>
    <d v="1899-12-30T00:00:51"/>
    <x v="5"/>
    <s v="https://www.youtube.com/embed/C3_6Ub1GnfA?start=538&amp;end=589&amp;autoplay=1"/>
    <m/>
    <m/>
    <m/>
  </r>
  <r>
    <n v="29.05"/>
    <x v="2"/>
    <m/>
    <s v="Done-Content"/>
    <m/>
    <m/>
    <x v="23"/>
    <s v="RM refutes Rev. Thompson's statement on the existence of Hindutva during St. Thomas' time."/>
    <m/>
    <m/>
    <x v="8"/>
    <m/>
    <d v="1899-12-30T00:09:49"/>
    <d v="1899-12-30T00:11:03"/>
    <d v="1899-12-30T00:01:14"/>
    <x v="5"/>
    <s v="https://www.youtube.com/embed/C3_6Ub1GnfA?start=589&amp;end=663&amp;autoplay=1"/>
    <m/>
    <m/>
    <m/>
  </r>
  <r>
    <n v="30"/>
    <x v="1"/>
    <m/>
    <m/>
    <s v="https://www.youtube.com/watch?v=dp7l5qmLHJI"/>
    <s v="Princeton University: Reactions After Event"/>
    <x v="18"/>
    <m/>
    <m/>
    <n v="6900"/>
    <x v="30"/>
    <s v="6 years ago"/>
    <m/>
    <m/>
    <m/>
    <x v="3"/>
    <m/>
    <m/>
    <m/>
    <m/>
  </r>
  <r>
    <n v="31"/>
    <x v="1"/>
    <m/>
    <m/>
    <s v="https://www.youtube.com/watch?v=elqL0Sr_sVU"/>
    <s v="Atlanta April 23rd, 2011: Introduction by Krishna Kirti Das, President, The Samprajyna Institute"/>
    <x v="18"/>
    <m/>
    <m/>
    <n v="645"/>
    <x v="31"/>
    <s v="6 years ago"/>
    <m/>
    <m/>
    <m/>
    <x v="3"/>
    <m/>
    <m/>
    <m/>
    <m/>
  </r>
  <r>
    <n v="32"/>
    <x v="1"/>
    <m/>
    <m/>
    <s v="https://www.youtube.com/watch?v=ryQMb29oX3s"/>
    <s v="Atlanta April 23rd, 2011: Introduction by Dr. Basant K. Tariyal"/>
    <x v="18"/>
    <m/>
    <m/>
    <n v="282"/>
    <x v="32"/>
    <s v="6 years ago"/>
    <m/>
    <m/>
    <m/>
    <x v="3"/>
    <m/>
    <m/>
    <m/>
    <m/>
  </r>
  <r>
    <n v="33"/>
    <x v="1"/>
    <m/>
    <m/>
    <s v="https://www.youtube.com/watch?v=BEz8X5SUwjY"/>
    <s v="Atlanta April 23rd, 2011: Talk by Rajiv Malhotra - Part 1"/>
    <x v="18"/>
    <m/>
    <m/>
    <n v="732"/>
    <x v="33"/>
    <s v="6 years ago"/>
    <m/>
    <m/>
    <m/>
    <x v="3"/>
    <m/>
    <m/>
    <m/>
    <m/>
  </r>
  <r>
    <n v="33.01"/>
    <x v="2"/>
    <m/>
    <s v="Done-Content"/>
    <m/>
    <m/>
    <x v="44"/>
    <s v="The Dalit identity and using the victimhood card are used as a divisive strategy. It is a well-thought through and funded campaign including from US based organizations."/>
    <m/>
    <m/>
    <x v="8"/>
    <m/>
    <d v="1899-12-30T00:01:07"/>
    <d v="1899-12-30T00:05:55"/>
    <d v="1899-12-30T00:04:48"/>
    <x v="6"/>
    <s v="https://www.youtube.com/embed/BEz8X5SUwjY?start=67&amp;end=355&amp;autoplay=1"/>
    <s v="Good"/>
    <s v="Good"/>
    <s v="Good"/>
  </r>
  <r>
    <n v="33.020000000000003"/>
    <x v="2"/>
    <m/>
    <s v="Done-Content"/>
    <m/>
    <m/>
    <x v="45"/>
    <s v="RM has meticulously researched the forces behind the Dalit movement and exposes their hidden agenda. There are several organizations based mainly in the US which have targeted India for conversion."/>
    <m/>
    <m/>
    <x v="8"/>
    <m/>
    <d v="1899-12-30T00:05:55"/>
    <d v="1899-12-30T00:10:33"/>
    <d v="1899-12-30T00:04:38"/>
    <x v="6"/>
    <s v="https://www.youtube.com/embed/BEz8X5SUwjY?start=355&amp;end=633&amp;autoplay=1"/>
    <s v="Good"/>
    <s v="Good"/>
    <s v="Good"/>
  </r>
  <r>
    <n v="34"/>
    <x v="2"/>
    <m/>
    <s v="Done-Content"/>
    <s v="https://www.youtube.com/watch?v=lzMEDrUFlpw"/>
    <s v="Atlanta April 23rd, 2011: Talk by Rajiv Malhotra - Part 2"/>
    <x v="18"/>
    <m/>
    <m/>
    <n v="459"/>
    <x v="34"/>
    <s v="6 years ago"/>
    <m/>
    <m/>
    <m/>
    <x v="6"/>
    <m/>
    <m/>
    <m/>
    <m/>
  </r>
  <r>
    <n v="34.01"/>
    <x v="2"/>
    <m/>
    <s v="Done-Content"/>
    <m/>
    <m/>
    <x v="46"/>
    <s v="Extensive research by RM has revealed how churches, governments, private think-tanks, foundations, academic institutions provide funding, ideology and manpower. Media also cooperates by painting a biased view of the happenings in India."/>
    <m/>
    <m/>
    <x v="8"/>
    <m/>
    <d v="1899-12-30T00:00:00"/>
    <d v="1899-12-30T00:06:08"/>
    <d v="1899-12-30T00:06:08"/>
    <x v="6"/>
    <s v="https://www.youtube.com/embed/lzMEDrUFlpw?start=0&amp;end=368&amp;autoplay=1"/>
    <m/>
    <m/>
    <m/>
  </r>
  <r>
    <n v="34.020000000000003"/>
    <x v="2"/>
    <m/>
    <s v="Done-Content"/>
    <m/>
    <m/>
    <x v="47"/>
    <s v="Some prestigious think tanks and liberal Christians in the US unknowingly get involved in the Breaking India activities without realizing the consequences of some of the actions they take."/>
    <m/>
    <m/>
    <x v="8"/>
    <m/>
    <d v="1899-12-30T00:06:08"/>
    <d v="1899-12-30T00:09:02"/>
    <d v="1899-12-30T00:02:54"/>
    <x v="6"/>
    <s v="https://www.youtube.com/embed/lzMEDrUFlpw?start=368&amp;end=542&amp;autoplay=1"/>
    <m/>
    <m/>
    <m/>
  </r>
  <r>
    <n v="34.03"/>
    <x v="2"/>
    <m/>
    <s v="Done-Content"/>
    <m/>
    <m/>
    <x v="48"/>
    <s v="RM explains how the Dravidian narrative is carefully built by a well-executed campaign over several years involving even famous names."/>
    <m/>
    <m/>
    <x v="8"/>
    <m/>
    <d v="1899-12-30T00:09:02"/>
    <d v="1899-12-30T00:10:59"/>
    <d v="1899-12-30T00:01:57"/>
    <x v="6"/>
    <s v="https://www.youtube.com/embed/lzMEDrUFlpw?start=542&amp;end=659&amp;autoplay=1"/>
    <m/>
    <m/>
    <m/>
  </r>
  <r>
    <n v="35"/>
    <x v="2"/>
    <m/>
    <s v="Done-Content"/>
    <s v="https://www.youtube.com/watch?v=qCG2vqnaUx4"/>
    <s v="Atlanta April 23rd, 2011: Talk by Rajiv Malhotra - Part 3"/>
    <x v="18"/>
    <m/>
    <m/>
    <n v="419"/>
    <x v="35"/>
    <s v="6 years ago"/>
    <m/>
    <m/>
    <m/>
    <x v="6"/>
    <m/>
    <m/>
    <m/>
    <m/>
  </r>
  <r>
    <n v="35.01"/>
    <x v="2"/>
    <m/>
    <s v="Done-Content"/>
    <m/>
    <m/>
    <x v="49"/>
    <s v="Minorities are being whitewashed into believing they are victims leading to divisiveness and even violent confrontations."/>
    <m/>
    <m/>
    <x v="8"/>
    <m/>
    <d v="1899-12-30T00:00:00"/>
    <d v="1899-12-30T00:05:47"/>
    <d v="1899-12-30T00:05:47"/>
    <x v="6"/>
    <s v="https://www.youtube.com/embed/qCG2vqnaUx4?start=0&amp;end=347&amp;autoplay=1"/>
    <m/>
    <m/>
    <m/>
  </r>
  <r>
    <n v="35.020000000000003"/>
    <x v="2"/>
    <m/>
    <s v="Done-Content"/>
    <m/>
    <m/>
    <x v="50"/>
    <s v="The Govt. of India has strangely remained quiet with regard to the Breaking India movement. In addition to private stakeholders, the government should also get involved and protest to the US government. The Chinese response to similar situations is interesting."/>
    <m/>
    <m/>
    <x v="8"/>
    <m/>
    <d v="1899-12-30T00:05:47"/>
    <d v="1899-12-30T00:08:34"/>
    <d v="1899-12-30T00:02:47"/>
    <x v="6"/>
    <s v="https://www.youtube.com/embed/qCG2vqnaUx4?start=347&amp;end=514&amp;autoplay=1"/>
    <m/>
    <m/>
    <m/>
  </r>
  <r>
    <n v="36"/>
    <x v="2"/>
    <m/>
    <s v="Done-Content"/>
    <s v="https://www.youtube.com/watch?v=ycnvyB8pDEM"/>
    <s v="Atlanta April 23rd, 2011: Questions and Answers - Part 1"/>
    <x v="18"/>
    <m/>
    <m/>
    <n v="755"/>
    <x v="36"/>
    <s v="6 years ago"/>
    <m/>
    <m/>
    <m/>
    <x v="7"/>
    <m/>
    <m/>
    <m/>
    <m/>
  </r>
  <r>
    <n v="36.01"/>
    <x v="2"/>
    <m/>
    <s v="Done-Content"/>
    <m/>
    <m/>
    <x v="51"/>
    <s v="Steps need to be taken beyond publishing the book to spread the message from the book to a larger audience. Some measures include Tamil translation, debates, lobbying with the US government etc."/>
    <m/>
    <m/>
    <x v="8"/>
    <m/>
    <d v="1899-12-30T00:00:31"/>
    <d v="1899-12-30T00:05:06"/>
    <d v="1899-12-30T00:04:35"/>
    <x v="7"/>
    <s v="https://www.youtube.com/embed/ycnvyB8pDEM?start=31&amp;end=306&amp;autoplay=1"/>
    <s v="Bad"/>
    <s v="Good"/>
    <s v="Good"/>
  </r>
  <r>
    <n v="36.020000000000003"/>
    <x v="2"/>
    <m/>
    <s v="Done-Content"/>
    <m/>
    <m/>
    <x v="52"/>
    <s v="RM's view is that we need strong and clean leaders to initiate bold steps against conversion. Sadly, India lacks that and hence most leaders can be compromised."/>
    <m/>
    <m/>
    <x v="8"/>
    <m/>
    <d v="1899-12-30T00:05:07"/>
    <d v="1899-12-30T00:06:35"/>
    <d v="1899-12-30T00:01:28"/>
    <x v="7"/>
    <s v="https://www.youtube.com/embed/ycnvyB8pDEM?start=307&amp;end=395&amp;autoplay=1"/>
    <s v="Good"/>
    <s v="Good"/>
    <s v="Good"/>
  </r>
  <r>
    <n v="36.03"/>
    <x v="2"/>
    <m/>
    <s v="Done-Content"/>
    <m/>
    <m/>
    <x v="53"/>
    <s v="Media, politicians, corporates cannot be relied on to support campaign against Breaking India forces as they have their own agendas to fulfill. However, the defence sector is cognizant of the challenges that India as a nation faces from such forces and are supportive."/>
    <m/>
    <m/>
    <x v="8"/>
    <m/>
    <d v="1899-12-30T00:06:35"/>
    <d v="1899-12-30T00:08:48"/>
    <d v="1899-12-30T00:02:13"/>
    <x v="7"/>
    <s v="https://www.youtube.com/embed/ycnvyB8pDEM?start=395&amp;end=528&amp;autoplay=1"/>
    <s v="Good"/>
    <s v="Good"/>
    <s v="Good"/>
  </r>
  <r>
    <n v="36.04"/>
    <x v="2"/>
    <m/>
    <s v="Done-Content"/>
    <m/>
    <m/>
    <x v="54"/>
    <s v="The West, Islam and China are always at work to convert the large Indian population to their agenda. The inaction of the Indian Government enables them to get away with such activities."/>
    <m/>
    <m/>
    <x v="8"/>
    <m/>
    <d v="1899-12-30T00:08:48"/>
    <d v="1899-12-30T00:11:15"/>
    <d v="1899-12-30T00:02:27"/>
    <x v="7"/>
    <s v="https://www.youtube.com/embed/ycnvyB8pDEM?start=528&amp;end=675&amp;autoplay=1"/>
    <s v="Good"/>
    <s v="Good"/>
    <s v="Good"/>
  </r>
  <r>
    <n v="37"/>
    <x v="2"/>
    <m/>
    <s v="Done-Content"/>
    <s v="https://www.youtube.com/watch?v=xANxZaCCD70"/>
    <s v="Atlanta April 23rd, 2011: Questions and Answers - Part 2"/>
    <x v="18"/>
    <m/>
    <m/>
    <n v="773"/>
    <x v="37"/>
    <s v="6 years ago"/>
    <m/>
    <m/>
    <m/>
    <x v="7"/>
    <m/>
    <m/>
    <m/>
    <m/>
  </r>
  <r>
    <n v="37.01"/>
    <x v="2"/>
    <m/>
    <s v="Done-Content"/>
    <m/>
    <m/>
    <x v="55"/>
    <s v="Over 2000 years ago, India extended from Afghanistan to Bali. The country has lost 80% of its land to the two new religions that have been expanding aggressively. The partition threat is alive even today in Kashmir, NE and Tamil Nadu."/>
    <m/>
    <m/>
    <x v="8"/>
    <m/>
    <d v="1899-12-30T00:00:00"/>
    <d v="1899-12-30T00:05:18"/>
    <d v="1899-12-30T00:05:18"/>
    <x v="7"/>
    <s v="https://www.youtube.com/embed/xANxZaCCD70?start=0&amp;end=318&amp;autoplay=1"/>
    <s v="Good"/>
    <s v="Good"/>
    <s v="Good"/>
  </r>
  <r>
    <n v="37.020000000000003"/>
    <x v="2"/>
    <m/>
    <s v="Done-Content"/>
    <m/>
    <m/>
    <x v="56"/>
    <s v="Like in any competitive arena, the best team wins irrespective of whether they are speaking the truth or not."/>
    <m/>
    <m/>
    <x v="8"/>
    <m/>
    <d v="1899-12-30T00:05:18"/>
    <d v="1899-12-30T00:07:18"/>
    <d v="1899-12-30T00:02:00"/>
    <x v="7"/>
    <s v="https://www.youtube.com/embed/xANxZaCCD70?start=318&amp;end=438&amp;autoplay=1"/>
    <s v="Bad"/>
    <s v="Good"/>
    <s v="Good"/>
  </r>
  <r>
    <n v="37.03"/>
    <x v="2"/>
    <m/>
    <s v="Done-Content"/>
    <m/>
    <m/>
    <x v="57"/>
    <s v="RM describes the attitude of people when it comes to contributing to the anti - Breaking India efforts. Most Indians tend to be cheerleaders rather than active participants despite the gravity of the situation."/>
    <m/>
    <m/>
    <x v="8"/>
    <m/>
    <d v="1899-12-30T00:07:20"/>
    <d v="1899-12-30T00:13:44"/>
    <d v="1899-12-30T00:06:24"/>
    <x v="7"/>
    <s v="https://www.youtube.com/embed/xANxZaCCD70?start=440&amp;end=824&amp;autoplay=1"/>
    <m/>
    <m/>
    <m/>
  </r>
  <r>
    <n v="38"/>
    <x v="2"/>
    <m/>
    <s v="Drop"/>
    <s v="https://www.youtube.com/watch?v=VeR7IhIkDk0"/>
    <s v="Atlanta April 23rd, 2011: Conclusion by Gokul Kunnath"/>
    <x v="18"/>
    <m/>
    <m/>
    <n v="427"/>
    <x v="38"/>
    <s v="6 years ago"/>
    <m/>
    <m/>
    <m/>
    <x v="8"/>
    <m/>
    <m/>
    <m/>
    <m/>
  </r>
  <r>
    <n v="39"/>
    <x v="1"/>
    <m/>
    <m/>
    <s v="https://www.youtube.com/watch?v=iS7CE9mrtI4"/>
    <s v="God and Identity: Rajiv Malhotra &amp; Joshua Stanton #1"/>
    <x v="18"/>
    <m/>
    <m/>
    <n v="5900"/>
    <x v="39"/>
    <s v="6 years ago"/>
    <m/>
    <m/>
    <m/>
    <x v="3"/>
    <m/>
    <m/>
    <m/>
    <m/>
  </r>
  <r>
    <n v="40"/>
    <x v="3"/>
    <m/>
    <s v="Done-Content"/>
    <s v="https://www.youtube.com/watch?v=THua8SMPtK4"/>
    <s v="Brahman and Karma: Rajiv Malhotra &amp; Joshua Stanton #2"/>
    <x v="18"/>
    <m/>
    <m/>
    <n v="3000"/>
    <x v="40"/>
    <s v="6 years ago"/>
    <m/>
    <m/>
    <m/>
    <x v="9"/>
    <m/>
    <m/>
    <m/>
    <m/>
  </r>
  <r>
    <n v="40.01"/>
    <x v="3"/>
    <m/>
    <s v="Done-Content"/>
    <m/>
    <m/>
    <x v="58"/>
    <s v="Brahman does not have an anti-brahman, karma is the equalization/ justice"/>
    <m/>
    <m/>
    <x v="8"/>
    <m/>
    <d v="1899-12-30T00:00:00"/>
    <d v="1899-12-30T00:04:36"/>
    <d v="1899-12-30T00:04:36"/>
    <x v="9"/>
    <s v="https://www.youtube.com/embed/THua8SMPtK4?start=0&amp;end=276&amp;autoplay=1"/>
    <s v="Good"/>
    <s v="Average"/>
    <s v="Good"/>
  </r>
  <r>
    <n v="41"/>
    <x v="3"/>
    <m/>
    <s v="Done-Content"/>
    <s v="https://www.youtube.com/watch?v=6_9IYK6ZlyY"/>
    <s v="Why Reincarnation: Rajiv Malhotra &amp; Joshua Stanton #3"/>
    <x v="18"/>
    <m/>
    <m/>
    <n v="3300"/>
    <x v="41"/>
    <s v="6 years ago"/>
    <m/>
    <m/>
    <m/>
    <x v="9"/>
    <m/>
    <m/>
    <m/>
    <m/>
  </r>
  <r>
    <n v="41.01"/>
    <x v="3"/>
    <m/>
    <s v="Done-Content"/>
    <m/>
    <m/>
    <x v="59"/>
    <s v="nicely explains how Hindu Dharma frees us from history centrism"/>
    <m/>
    <m/>
    <x v="8"/>
    <m/>
    <d v="1899-12-30T00:01:26"/>
    <d v="1899-12-30T00:03:08"/>
    <d v="1899-12-30T00:01:42"/>
    <x v="9"/>
    <s v="https://www.youtube.com/embed/6_9IYK6ZlyY?start=86&amp;end=188&amp;autoplay=1"/>
    <s v="Good"/>
    <s v="Good"/>
    <s v="Good"/>
  </r>
  <r>
    <n v="41.02"/>
    <x v="3"/>
    <m/>
    <s v="Done-Content"/>
    <m/>
    <m/>
    <x v="60"/>
    <s v="Like the dna/ genes drive a person's physical appearance, karma drives the soul's birth as a certain form"/>
    <m/>
    <m/>
    <x v="8"/>
    <m/>
    <d v="1899-12-30T00:03:09"/>
    <d v="1899-12-30T00:05:15"/>
    <d v="1899-12-30T00:02:06"/>
    <x v="9"/>
    <s v="https://www.youtube.com/embed/6_9IYK6ZlyY?start=189&amp;end=315&amp;autoplay=1"/>
    <s v="Good"/>
    <s v="Good"/>
    <s v="Good"/>
  </r>
  <r>
    <n v="41.03"/>
    <x v="3"/>
    <m/>
    <s v="Done-Content"/>
    <m/>
    <m/>
    <x v="61"/>
    <s v="Since everyone is brahman, you help the brahman"/>
    <m/>
    <m/>
    <x v="8"/>
    <m/>
    <d v="1899-12-30T00:05:16"/>
    <d v="1899-12-30T00:07:56"/>
    <d v="1899-12-30T00:02:40"/>
    <x v="9"/>
    <s v="https://www.youtube.com/embed/6_9IYK6ZlyY?start=316&amp;end=476&amp;autoplay=1"/>
    <s v="Good"/>
    <s v="Good"/>
    <s v="Good"/>
  </r>
  <r>
    <n v="41.04"/>
    <x v="3"/>
    <m/>
    <s v="Done-Content"/>
    <m/>
    <m/>
    <x v="62"/>
    <s v="it is the nature of existence, vittam virtue of dharma - once you realize that you are brahman then karma is driven by this realization"/>
    <m/>
    <m/>
    <x v="8"/>
    <m/>
    <d v="1899-12-30T00:07:57"/>
    <d v="1899-12-30T00:12:44"/>
    <d v="1899-12-30T00:04:47"/>
    <x v="9"/>
    <s v="https://www.youtube.com/embed/6_9IYK6ZlyY?start=477&amp;end=764&amp;autoplay=1"/>
    <s v="Good"/>
    <s v="Good"/>
    <s v="Good"/>
  </r>
  <r>
    <n v="42"/>
    <x v="3"/>
    <m/>
    <s v="Done-Content"/>
    <s v="https://www.youtube.com/watch?v=LXrKKz7Mld8"/>
    <s v="Limits &amp; Possibilities of Self: Rajiv Malhotra &amp; Joshua Stanton #4"/>
    <x v="18"/>
    <m/>
    <m/>
    <n v="1700"/>
    <x v="42"/>
    <s v="6 years ago"/>
    <m/>
    <m/>
    <m/>
    <x v="9"/>
    <m/>
    <m/>
    <m/>
    <m/>
  </r>
  <r>
    <n v="42.1"/>
    <x v="3"/>
    <m/>
    <s v="Done-Content"/>
    <m/>
    <m/>
    <x v="63"/>
    <s v="Meditation and other dharmic paths lead to the realization of brahman in self"/>
    <m/>
    <m/>
    <x v="8"/>
    <m/>
    <d v="1899-12-30T00:00:00"/>
    <d v="1899-12-30T00:07:27"/>
    <d v="1899-12-30T00:07:27"/>
    <x v="9"/>
    <s v="https://www.youtube.com/embed/LXrKKz7Mld8?start=0&amp;end=447&amp;autoplay=1"/>
    <s v="Good"/>
    <s v="Good"/>
    <s v="Good"/>
  </r>
  <r>
    <n v="43"/>
    <x v="3"/>
    <m/>
    <s v="Done-Content"/>
    <s v="https://www.youtube.com/watch?v=ufZ1BZcZzKI"/>
    <s v="History &amp; Dharmic Traditions: Rajiv Malhotra &amp; Joshua Stanton #8"/>
    <x v="18"/>
    <m/>
    <m/>
    <n v="1000"/>
    <x v="43"/>
    <s v="6 years ago"/>
    <m/>
    <m/>
    <m/>
    <x v="9"/>
    <m/>
    <m/>
    <m/>
    <m/>
  </r>
  <r>
    <n v="43.1"/>
    <x v="3"/>
    <m/>
    <s v="Done-Content"/>
    <m/>
    <m/>
    <x v="64"/>
    <s v="Brahman in different forms, allows people to follow their own swa-dharma, does not promote conversion to any one belief"/>
    <m/>
    <m/>
    <x v="8"/>
    <m/>
    <d v="1899-12-30T00:00:00"/>
    <d v="1899-12-30T00:04:57"/>
    <d v="1899-12-30T00:04:57"/>
    <x v="9"/>
    <s v="https://www.youtube.com/embed/ufZ1BZcZzKI?start=0&amp;end=297&amp;autoplay=1"/>
    <s v="Good"/>
    <s v="Good"/>
    <s v="Good"/>
  </r>
  <r>
    <n v="44"/>
    <x v="3"/>
    <m/>
    <s v="Done-Content"/>
    <s v="https://www.youtube.com/watch?v=rNhQIKC2jPM"/>
    <s v="Personal Motivations: Rajiv Malhotra &amp; Joshua Stanton #5"/>
    <x v="18"/>
    <m/>
    <m/>
    <n v="1300"/>
    <x v="44"/>
    <s v="6 years ago"/>
    <m/>
    <m/>
    <m/>
    <x v="9"/>
    <m/>
    <m/>
    <m/>
    <m/>
  </r>
  <r>
    <n v="44.1"/>
    <x v="3"/>
    <m/>
    <s v="Done-Content"/>
    <m/>
    <m/>
    <x v="65"/>
    <s v="Need to introduce sanskrit words into English"/>
    <m/>
    <m/>
    <x v="8"/>
    <m/>
    <d v="1899-12-30T00:04:21"/>
    <d v="1899-12-30T00:07:37"/>
    <d v="1899-12-30T00:03:16"/>
    <x v="9"/>
    <s v="https://www.youtube.com/embed/rNhQIKC2jPM?start=261&amp;end=457&amp;autoplay=1"/>
    <s v="Good"/>
    <s v="Good"/>
    <s v="Good"/>
  </r>
  <r>
    <n v="45"/>
    <x v="3"/>
    <m/>
    <s v="Done-Content"/>
    <s v="https://www.youtube.com/watch?v=FndfcBhZklU"/>
    <s v="Dharma &amp; Modern India: Rajiv Malhotra &amp; Joshua Stanton #9"/>
    <x v="18"/>
    <m/>
    <m/>
    <n v="1300"/>
    <x v="45"/>
    <s v="6 years ago"/>
    <m/>
    <m/>
    <m/>
    <x v="9"/>
    <m/>
    <m/>
    <m/>
    <m/>
  </r>
  <r>
    <n v="45.1"/>
    <x v="3"/>
    <m/>
    <s v="Done-Content"/>
    <m/>
    <m/>
    <x v="66"/>
    <s v="respecting differences and having a healthy debate"/>
    <m/>
    <m/>
    <x v="8"/>
    <m/>
    <d v="1899-12-30T00:00:00"/>
    <d v="1899-12-30T00:06:00"/>
    <d v="1899-12-30T00:06:00"/>
    <x v="9"/>
    <s v="https://www.youtube.com/embed/FndfcBhZklU?start=0&amp;end=360&amp;autoplay=1"/>
    <s v="Average"/>
    <s v="Good"/>
    <s v="Good"/>
  </r>
  <r>
    <n v="46"/>
    <x v="3"/>
    <m/>
    <s v="Done-Content"/>
    <s v="https://www.youtube.com/watch?v=20u8yHim1tM"/>
    <s v="Educating the Next Generation: Rajiv Malhotra &amp; Joshua Stanton #11"/>
    <x v="18"/>
    <m/>
    <m/>
    <n v="940"/>
    <x v="46"/>
    <s v="6 years ago"/>
    <m/>
    <m/>
    <m/>
    <x v="9"/>
    <m/>
    <m/>
    <m/>
    <m/>
  </r>
  <r>
    <n v="46.1"/>
    <x v="3"/>
    <m/>
    <s v="Done-Content"/>
    <m/>
    <m/>
    <x v="67"/>
    <m/>
    <m/>
    <m/>
    <x v="8"/>
    <m/>
    <d v="1899-12-30T00:00:00"/>
    <d v="1899-12-30T00:03:42"/>
    <d v="1899-12-30T00:03:42"/>
    <x v="9"/>
    <s v="https://www.youtube.com/embed/20u8yHim1tM?start=0&amp;end=222&amp;autoplay=1"/>
    <s v="Good"/>
    <s v="Good"/>
    <s v="Good"/>
  </r>
  <r>
    <n v="47"/>
    <x v="3"/>
    <m/>
    <s v="Drop"/>
    <s v="https://www.youtube.com/watch?v=K9s433rQloA"/>
    <s v="Dharmic Framework for Dialogue: Rajiv Malhotra &amp; Joshua Stanton #10"/>
    <x v="18"/>
    <m/>
    <m/>
    <n v="864"/>
    <x v="47"/>
    <s v="6 years ago"/>
    <m/>
    <m/>
    <m/>
    <x v="9"/>
    <m/>
    <m/>
    <m/>
    <m/>
  </r>
  <r>
    <n v="48"/>
    <x v="3"/>
    <m/>
    <s v="Done-Content"/>
    <s v="https://www.youtube.com/watch?v=QEUeYDEFtsE"/>
    <s v="Language and Difference: Rajiv Malhotra &amp; Joshua Stanton #6"/>
    <x v="18"/>
    <m/>
    <m/>
    <n v="1100"/>
    <x v="48"/>
    <s v="6 years ago"/>
    <m/>
    <m/>
    <m/>
    <x v="9"/>
    <m/>
    <m/>
    <m/>
    <m/>
  </r>
  <r>
    <n v="48.1"/>
    <x v="3"/>
    <m/>
    <s v="Done-Content"/>
    <m/>
    <m/>
    <x v="68"/>
    <m/>
    <m/>
    <m/>
    <x v="8"/>
    <m/>
    <d v="1899-12-30T00:00:00"/>
    <d v="1899-12-30T00:04:44"/>
    <d v="1899-12-30T00:04:44"/>
    <x v="9"/>
    <s v="https://www.youtube.com/embed/QEUeYDEFtsE?start=0&amp;end=284&amp;autoplay=1"/>
    <s v="Good"/>
    <s v="Average"/>
    <s v="Good"/>
  </r>
  <r>
    <n v="49"/>
    <x v="3"/>
    <m/>
    <s v="Done-Content"/>
    <s v="https://www.youtube.com/watch?v=Yhp3rFuo5Cw"/>
    <s v="History Centrism As the Problem: Rajiv Malhotra and Joshua Stanton #7"/>
    <x v="18"/>
    <m/>
    <m/>
    <n v="1500"/>
    <x v="49"/>
    <s v="6 years ago"/>
    <m/>
    <m/>
    <m/>
    <x v="9"/>
    <m/>
    <m/>
    <m/>
    <m/>
  </r>
  <r>
    <n v="49.01"/>
    <x v="3"/>
    <m/>
    <s v="Done-Content"/>
    <m/>
    <m/>
    <x v="69"/>
    <m/>
    <m/>
    <m/>
    <x v="8"/>
    <m/>
    <d v="1899-12-30T00:00:00"/>
    <d v="1899-12-30T00:06:00"/>
    <d v="1899-12-30T00:06:00"/>
    <x v="9"/>
    <s v="https://www.youtube.com/embed/Yhp3rFuo5Cw?start=0&amp;end=360&amp;autoplay=1"/>
    <s v="Good"/>
    <s v="Good"/>
    <s v="Good"/>
  </r>
  <r>
    <n v="49.02"/>
    <x v="3"/>
    <m/>
    <s v="Done-Content"/>
    <m/>
    <m/>
    <x v="70"/>
    <m/>
    <m/>
    <m/>
    <x v="8"/>
    <m/>
    <d v="1899-12-30T00:06:01"/>
    <d v="1899-12-30T00:12:51"/>
    <d v="1899-12-30T00:06:50"/>
    <x v="9"/>
    <s v="https://www.youtube.com/embed/Yhp3rFuo5Cw?start=361&amp;end=771&amp;autoplay=1"/>
    <s v="Good"/>
    <s v="Good"/>
    <s v="Good"/>
  </r>
  <r>
    <n v="50"/>
    <x v="2"/>
    <m/>
    <s v="Done-Content"/>
    <s v="https://www.youtube.com/watch?v=8qjQH_-WzyE"/>
    <s v="Rajiv Malhotra California June 2011 - 1: Importance of Managing our Civilization Discourse"/>
    <x v="18"/>
    <m/>
    <m/>
    <n v="1700"/>
    <x v="50"/>
    <s v="6 years ago"/>
    <m/>
    <m/>
    <m/>
    <x v="8"/>
    <m/>
    <m/>
    <m/>
    <m/>
  </r>
  <r>
    <n v="50.01"/>
    <x v="2"/>
    <m/>
    <s v="Done-Content"/>
    <m/>
    <m/>
    <x v="71"/>
    <s v="Discourses shape social realities and therefore the future. It is imperative to therefore have a discourse on our civilization so that we have a say in our future rather than allow others to dictate it."/>
    <m/>
    <m/>
    <x v="8"/>
    <m/>
    <d v="1899-12-30T00:00:00"/>
    <d v="1899-12-30T00:05:44"/>
    <d v="1899-12-30T00:05:44"/>
    <x v="8"/>
    <s v="https://www.youtube.com/embed/8qjQH_-WzyE?start=0&amp;end=344&amp;autoplay=1"/>
    <s v="Good"/>
    <s v="Average"/>
    <s v="Good"/>
  </r>
  <r>
    <n v="50.02"/>
    <x v="2"/>
    <m/>
    <s v="Drop"/>
    <m/>
    <m/>
    <x v="72"/>
    <s v="Borrowing IT terminology, discourse is like the &quot;apps&quot; part of the equation if you consider temple etc. as the infrastructure."/>
    <m/>
    <m/>
    <x v="8"/>
    <m/>
    <d v="1899-12-30T00:05:45"/>
    <d v="1899-12-30T00:06:50"/>
    <d v="1899-12-30T00:01:05"/>
    <x v="8"/>
    <s v="https://www.youtube.com/embed/8qjQH_-WzyE?start=345&amp;end=410&amp;autoplay=1"/>
    <s v="Good"/>
    <s v="Good"/>
    <s v="Good"/>
  </r>
  <r>
    <n v="50.03"/>
    <x v="2"/>
    <m/>
    <s v="Done-Content"/>
    <m/>
    <m/>
    <x v="73"/>
    <s v="Involving Western institutions will mean giving up control of what will be disseminated to them. This is like colonization all over again."/>
    <m/>
    <m/>
    <x v="8"/>
    <m/>
    <d v="1899-12-30T00:06:51"/>
    <d v="1899-12-30T00:10:20"/>
    <d v="1899-12-30T00:03:29"/>
    <x v="8"/>
    <s v="https://www.youtube.com/embed/8qjQH_-WzyE?start=411&amp;end=620&amp;autoplay=1"/>
    <s v="Good"/>
    <s v="Good"/>
    <s v="Good"/>
  </r>
  <r>
    <n v="50.04"/>
    <x v="2"/>
    <m/>
    <s v="Done-Content"/>
    <m/>
    <m/>
    <x v="74"/>
    <s v="Hindus are not sufficiently present in discourse forums, Even our gurus and acharyas are unprepared when it comes to understanding the Western point of view and presenting a solid argument. The concept of purva paksha has been forgotten. Independent thinkers are necessary to change perspectives."/>
    <m/>
    <m/>
    <x v="8"/>
    <m/>
    <d v="1899-12-30T00:10:21"/>
    <d v="1899-12-30T00:13:34"/>
    <d v="1899-12-30T00:03:13"/>
    <x v="8"/>
    <s v="https://www.youtube.com/embed/8qjQH_-WzyE?start=621&amp;end=814&amp;autoplay=1"/>
    <s v="Good"/>
    <s v="Good"/>
    <s v="Good"/>
  </r>
  <r>
    <n v="51"/>
    <x v="2"/>
    <m/>
    <s v="Done-Content"/>
    <s v="https://www.youtube.com/watch?v=vHWsmGyjOk0"/>
    <s v="Rajiv Malhotra California June 2011 - 2: Changing the Game through Non-Ignorable Interventions"/>
    <x v="18"/>
    <m/>
    <m/>
    <n v="679"/>
    <x v="51"/>
    <s v="6 years ago"/>
    <m/>
    <m/>
    <m/>
    <x v="10"/>
    <m/>
    <m/>
    <m/>
    <m/>
  </r>
  <r>
    <n v="51.01"/>
    <x v="2"/>
    <m/>
    <s v="Done-Content"/>
    <m/>
    <m/>
    <x v="75"/>
    <s v="What is effective is for Hindus to hold public discourses that challenge institutions and people of today rather than criticize history. Avoiding naming names ensures that your discourse is ignored by your opponent. RM's approach has therefore been to take on public discourses/intellectual discussions with living thinkers."/>
    <m/>
    <m/>
    <x v="8"/>
    <m/>
    <d v="1899-12-30T00:00:00"/>
    <d v="1899-12-30T00:06:45"/>
    <d v="1899-12-30T00:06:45"/>
    <x v="10"/>
    <s v="https://www.youtube.com/embed/vHWsmGyjOk0?start=0&amp;end=405&amp;autoplay=1"/>
    <s v="Good"/>
    <s v="Good"/>
    <s v="Good"/>
  </r>
  <r>
    <n v="52"/>
    <x v="2"/>
    <m/>
    <s v="Done-Content"/>
    <s v="https://www.youtube.com/watch?v=-udb2VYB5uo"/>
    <s v="Rajiv Malhotra California June 2011 - 3: Anti-India Nexuses"/>
    <x v="18"/>
    <m/>
    <m/>
    <n v="928"/>
    <x v="52"/>
    <s v="6 years ago"/>
    <m/>
    <m/>
    <m/>
    <x v="10"/>
    <m/>
    <m/>
    <m/>
    <m/>
  </r>
  <r>
    <n v="52.01"/>
    <x v="2"/>
    <m/>
    <s v="Done-Content"/>
    <m/>
    <m/>
    <x v="76"/>
    <s v="RM explains how causes such as the Dravidian identity and Dalit movement have been created and nurtured by vested interests over the years."/>
    <m/>
    <m/>
    <x v="8"/>
    <m/>
    <d v="1899-12-30T00:00:00"/>
    <d v="1899-12-30T00:04:34"/>
    <d v="1899-12-30T00:04:34"/>
    <x v="10"/>
    <s v="https://www.youtube.com/embed/-udb2VYB5uo?start=0&amp;end=274&amp;autoplay=1"/>
    <s v="Good"/>
    <s v="Good"/>
    <s v="Good"/>
  </r>
  <r>
    <n v="52.02"/>
    <x v="2"/>
    <m/>
    <s v="Done-Content"/>
    <m/>
    <m/>
    <x v="77"/>
    <s v="The Western church, evangelists, right wing politicians are the key powers and they make use of people from India to play the Dalit face."/>
    <m/>
    <m/>
    <x v="8"/>
    <m/>
    <d v="1899-12-30T00:04:35"/>
    <d v="1899-12-30T00:14:23"/>
    <d v="1899-12-30T00:09:48"/>
    <x v="10"/>
    <s v="https://www.youtube.com/embed/-udb2VYB5uo?start=275&amp;end=863&amp;autoplay=1"/>
    <s v="Good"/>
    <s v="Good"/>
    <s v="Good"/>
  </r>
  <r>
    <n v="53"/>
    <x v="2"/>
    <m/>
    <s v="Done-Content"/>
    <s v="https://www.youtube.com/watch?v=f-MLHIb4dFU"/>
    <s v="Rajiv Malhotra California: #4 Exploiting India's Minorities"/>
    <x v="18"/>
    <m/>
    <m/>
    <n v="961"/>
    <x v="53"/>
    <s v="6 years ago"/>
    <m/>
    <m/>
    <m/>
    <x v="11"/>
    <m/>
    <m/>
    <m/>
    <m/>
  </r>
  <r>
    <n v="53.01"/>
    <x v="2"/>
    <m/>
    <s v="Done-Content"/>
    <m/>
    <m/>
    <x v="45"/>
    <s v="The anti-India forces are church based, secular left-wing think tanks, government agencies, and academics in the US and Europe. In India the left is aligned with the right wing Christians as the common goal is to break India."/>
    <m/>
    <m/>
    <x v="8"/>
    <m/>
    <d v="1899-12-30T00:00:00"/>
    <d v="1899-12-30T00:03:10"/>
    <d v="1899-12-30T00:03:10"/>
    <x v="11"/>
    <s v="https://www.youtube.com/embed/f-MLHIb4dFU?start=0&amp;end=190&amp;autoplay=1"/>
    <s v="Good"/>
    <s v="Good"/>
    <s v="Good"/>
  </r>
  <r>
    <n v="53.02"/>
    <x v="2"/>
    <m/>
    <s v="Done-Content"/>
    <m/>
    <m/>
    <x v="78"/>
    <s v="RM argues that we need to relook at the way we define minorities. It should be viewed in the light that certain minorities are governed by foreign players and hence definitely not be considered as a minority."/>
    <m/>
    <m/>
    <x v="8"/>
    <m/>
    <d v="1899-12-30T00:04:34"/>
    <d v="1899-12-30T00:06:56"/>
    <d v="1899-12-30T00:02:22"/>
    <x v="11"/>
    <s v="https://www.youtube.com/embed/f-MLHIb4dFU?start=274&amp;end=416&amp;autoplay=1"/>
    <s v="Good"/>
    <s v="Good"/>
    <s v="Good"/>
  </r>
  <r>
    <n v="53.03"/>
    <x v="2"/>
    <m/>
    <s v="Done-Content"/>
    <m/>
    <m/>
    <x v="79"/>
    <s v="Many middlemen siphon off grant money from the West to be used for conversion purposes."/>
    <m/>
    <m/>
    <x v="8"/>
    <m/>
    <d v="1899-12-30T00:09:24"/>
    <d v="1899-12-30T00:10:10"/>
    <d v="1899-12-30T00:00:46"/>
    <x v="11"/>
    <s v="https://www.youtube.com/embed/f-MLHIb4dFU?start=564&amp;end=610&amp;autoplay=1"/>
    <s v="Good"/>
    <s v="Good"/>
    <s v="Good"/>
  </r>
  <r>
    <n v="53.04"/>
    <x v="2"/>
    <m/>
    <s v="Done-Content"/>
    <m/>
    <m/>
    <x v="42"/>
    <s v="Christianity in India has a thriving caste system built into it. It is a myth that Christianity has overcome the caste problem."/>
    <m/>
    <m/>
    <x v="8"/>
    <m/>
    <d v="1899-12-30T00:10:25"/>
    <d v="1899-12-30T00:11:55"/>
    <d v="1899-12-30T00:01:30"/>
    <x v="11"/>
    <s v="https://www.youtube.com/embed/f-MLHIb4dFU?start=625&amp;end=715&amp;autoplay=1"/>
    <s v="Good"/>
    <s v="Good"/>
    <s v="Good"/>
  </r>
  <r>
    <n v="54"/>
    <x v="1"/>
    <m/>
    <m/>
    <s v="https://www.youtube.com/watch?v=m3jwqSSyVkg"/>
    <s v="Rajiv Malhotra California June 2011 - 5: Q &amp; A (Los Angeles) 1"/>
    <x v="18"/>
    <m/>
    <m/>
    <n v="1300"/>
    <x v="54"/>
    <s v="6 years ago"/>
    <m/>
    <m/>
    <m/>
    <x v="3"/>
    <m/>
    <m/>
    <m/>
    <m/>
  </r>
  <r>
    <n v="55"/>
    <x v="1"/>
    <m/>
    <m/>
    <s v="https://www.youtube.com/watch?v=QWaXqmcxm94"/>
    <s v="Rajiv Malhotra California June 2011 - 6: Q &amp; A (Los Angeles) 2"/>
    <x v="18"/>
    <m/>
    <m/>
    <n v="959"/>
    <x v="55"/>
    <s v="6 years ago"/>
    <m/>
    <m/>
    <m/>
    <x v="3"/>
    <m/>
    <m/>
    <m/>
    <m/>
  </r>
  <r>
    <n v="56"/>
    <x v="1"/>
    <m/>
    <m/>
    <s v="https://www.youtube.com/watch?v=JXjMYvGqqDE"/>
    <s v="Rajiv Malhotra California June 2011 - 7: Q &amp; A (Los Angeles) 3"/>
    <x v="18"/>
    <m/>
    <m/>
    <n v="1100"/>
    <x v="56"/>
    <s v="6 years ago"/>
    <m/>
    <m/>
    <m/>
    <x v="3"/>
    <m/>
    <m/>
    <m/>
    <m/>
  </r>
  <r>
    <n v="57"/>
    <x v="1"/>
    <m/>
    <m/>
    <s v="https://www.youtube.com/watch?v=TGgYE0Ui0co"/>
    <s v="Rajiv Malhotra California June 2011 - 8: Q &amp; A (Bay Area) 4"/>
    <x v="18"/>
    <m/>
    <m/>
    <n v="1000"/>
    <x v="57"/>
    <s v="6 years ago"/>
    <m/>
    <m/>
    <m/>
    <x v="3"/>
    <m/>
    <m/>
    <m/>
    <m/>
  </r>
  <r>
    <n v="58"/>
    <x v="1"/>
    <m/>
    <m/>
    <s v="https://www.youtube.com/watch?v=xtHzknvaS7s"/>
    <s v="Rajiv Malhotra California June 2011 - 9: Q &amp; A (Bay Area) 5"/>
    <x v="18"/>
    <m/>
    <m/>
    <n v="1500"/>
    <x v="52"/>
    <s v="6 years ago"/>
    <m/>
    <m/>
    <m/>
    <x v="3"/>
    <m/>
    <m/>
    <m/>
    <m/>
  </r>
  <r>
    <n v="59"/>
    <x v="0"/>
    <m/>
    <s v="Done-Content"/>
    <s v="https://www.youtube.com/watch?v=ByaheAphduQ"/>
    <s v="Hindu Unity Day: Dallas August, 2011"/>
    <x v="18"/>
    <m/>
    <m/>
    <n v="3600"/>
    <x v="58"/>
    <s v="6 years ago"/>
    <m/>
    <m/>
    <m/>
    <x v="0"/>
    <m/>
    <s v="Good"/>
    <s v="Good"/>
    <s v="Good"/>
  </r>
  <r>
    <n v="59.01"/>
    <x v="0"/>
    <m/>
    <s v="Done-Content"/>
    <m/>
    <m/>
    <x v="80"/>
    <s v="Analyse how Hindu Sampradya, Parampara, Family system, festivals are being viewed, misinterpreted and appropriated by west"/>
    <m/>
    <m/>
    <x v="8"/>
    <m/>
    <d v="1899-12-30T00:00:00"/>
    <d v="1899-12-30T00:07:30"/>
    <d v="1899-12-30T00:07:30"/>
    <x v="0"/>
    <s v="https://www.youtube.com/embed/ByaheAphduQ?start=0&amp;end=450&amp;autoplay=1"/>
    <s v="Good"/>
    <s v="Good"/>
    <s v="Good"/>
  </r>
  <r>
    <n v="59.02"/>
    <x v="0"/>
    <m/>
    <s v="Done-Content"/>
    <m/>
    <m/>
    <x v="81"/>
    <s v="This project was the seed of writing book called &quot;Breaking India&quot;"/>
    <m/>
    <m/>
    <x v="8"/>
    <m/>
    <d v="1899-12-30T00:08:55"/>
    <d v="1899-12-30T00:15:56"/>
    <d v="1899-12-30T00:07:01"/>
    <x v="0"/>
    <s v="https://www.youtube.com/embed/ByaheAphduQ?start=535&amp;end=956&amp;autoplay=1"/>
    <s v="Good"/>
    <s v="Good"/>
    <s v="Good"/>
  </r>
  <r>
    <n v="59.03"/>
    <x v="0"/>
    <m/>
    <s v="Done-Content"/>
    <m/>
    <m/>
    <x v="82"/>
    <s v="Churches buy huge land in remote part of India to create dominance"/>
    <m/>
    <m/>
    <x v="8"/>
    <m/>
    <d v="1899-12-30T00:18:10"/>
    <d v="1899-12-30T00:19:59"/>
    <d v="1899-12-30T00:01:49"/>
    <x v="0"/>
    <s v="https://www.youtube.com/embed/ByaheAphduQ?start=1090&amp;end=1199&amp;autoplay=1"/>
    <s v="Good"/>
    <s v="Good"/>
    <s v="Good"/>
  </r>
  <r>
    <n v="59.04"/>
    <x v="0"/>
    <m/>
    <s v="Done-Content"/>
    <m/>
    <m/>
    <x v="83"/>
    <s v="Churches using human right as a tool for conversion and spreading base"/>
    <m/>
    <m/>
    <x v="8"/>
    <m/>
    <d v="1899-12-30T00:20:05"/>
    <d v="1899-12-30T00:21:20"/>
    <d v="1899-12-30T00:01:15"/>
    <x v="0"/>
    <s v="https://www.youtube.com/embed/ByaheAphduQ?start=1205&amp;end=1280&amp;autoplay=1"/>
    <s v="Good"/>
    <s v="Good"/>
    <s v="Good"/>
  </r>
  <r>
    <n v="59.05"/>
    <x v="0"/>
    <m/>
    <s v="Done-Content"/>
    <m/>
    <m/>
    <x v="84"/>
    <s v="What is US Commision on International Religious Freedom and their relation with US Political system"/>
    <m/>
    <m/>
    <x v="8"/>
    <m/>
    <d v="1899-12-30T00:21:22"/>
    <d v="1899-12-30T00:23:30"/>
    <d v="1899-12-30T00:02:08"/>
    <x v="0"/>
    <s v="https://www.youtube.com/embed/ByaheAphduQ?start=1282&amp;end=1410&amp;autoplay=1"/>
    <s v="Good"/>
    <s v="Good"/>
    <s v="Good"/>
  </r>
  <r>
    <n v="59.06"/>
    <x v="0"/>
    <m/>
    <s v="Done-Content"/>
    <m/>
    <m/>
    <x v="85"/>
    <m/>
    <m/>
    <m/>
    <x v="8"/>
    <m/>
    <d v="1899-12-30T00:24:10"/>
    <d v="1899-12-30T00:27:00"/>
    <d v="1899-12-30T00:02:50"/>
    <x v="0"/>
    <s v="https://www.youtube.com/embed/ByaheAphduQ?start=1450&amp;end=1620&amp;autoplay=1"/>
    <s v="Good"/>
    <s v="Good"/>
    <s v="Good"/>
  </r>
  <r>
    <n v="59.07"/>
    <x v="0"/>
    <m/>
    <s v="Done-Content"/>
    <m/>
    <m/>
    <x v="86"/>
    <m/>
    <m/>
    <m/>
    <x v="8"/>
    <m/>
    <d v="1899-12-30T00:28:04"/>
    <d v="1899-12-30T00:29:50"/>
    <d v="1899-12-30T00:01:46"/>
    <x v="0"/>
    <s v="https://www.youtube.com/embed/ByaheAphduQ?start=1684&amp;end=1790&amp;autoplay=1"/>
    <s v="Good"/>
    <s v="Good"/>
    <s v="Good"/>
  </r>
  <r>
    <n v="59.08"/>
    <x v="0"/>
    <m/>
    <s v="Done-Content"/>
    <m/>
    <m/>
    <x v="87"/>
    <s v="Aryan-Dravidian Divide -&gt; Dalit-non-Dalit Divide, Majority-minority divide =&gt; Hindu vs Dravidian + Dalit divide in society"/>
    <m/>
    <m/>
    <x v="8"/>
    <m/>
    <d v="1899-12-30T00:30:25"/>
    <d v="1899-12-30T00:31:15"/>
    <d v="1899-12-30T00:00:50"/>
    <x v="0"/>
    <s v="https://www.youtube.com/embed/ByaheAphduQ?start=1825&amp;end=1875&amp;autoplay=1"/>
    <s v="Good"/>
    <s v="Good"/>
    <s v="Good"/>
  </r>
  <r>
    <n v="59.09"/>
    <x v="0"/>
    <m/>
    <s v="Done-Content"/>
    <m/>
    <m/>
    <x v="88"/>
    <s v="A book on Chritian Media in India by Pradip N Thomas"/>
    <m/>
    <m/>
    <x v="8"/>
    <m/>
    <d v="1899-12-30T00:32:50"/>
    <d v="1899-12-30T00:34:52"/>
    <d v="1899-12-30T00:02:02"/>
    <x v="0"/>
    <s v="https://www.youtube.com/embed/ByaheAphduQ?start=1970&amp;end=2092&amp;autoplay=1"/>
    <s v="Good"/>
    <s v="Good"/>
    <s v="Good"/>
  </r>
  <r>
    <n v="59.1"/>
    <x v="0"/>
    <m/>
    <s v="Done-Content"/>
    <m/>
    <m/>
    <x v="89"/>
    <m/>
    <m/>
    <m/>
    <x v="8"/>
    <m/>
    <d v="1899-12-30T00:36:00"/>
    <d v="1899-12-30T00:38:18"/>
    <d v="1899-12-30T00:02:18"/>
    <x v="0"/>
    <s v="https://www.youtube.com/embed/ByaheAphduQ?start=2160&amp;end=2298&amp;autoplay=1"/>
    <s v="Good"/>
    <s v="Good"/>
    <s v="Good"/>
  </r>
  <r>
    <n v="59.11"/>
    <x v="0"/>
    <m/>
    <s v="Done-Content"/>
    <m/>
    <m/>
    <x v="90"/>
    <m/>
    <m/>
    <m/>
    <x v="8"/>
    <m/>
    <d v="1899-12-30T00:38:30"/>
    <d v="1899-12-30T00:42:35"/>
    <d v="1899-12-30T00:04:05"/>
    <x v="0"/>
    <s v="https://www.youtube.com/embed/ByaheAphduQ?start=2310&amp;end=2555&amp;autoplay=1"/>
    <s v="Good"/>
    <s v="Good"/>
    <s v="Good"/>
  </r>
  <r>
    <n v="59.12"/>
    <x v="0"/>
    <m/>
    <s v="Done-Content"/>
    <m/>
    <m/>
    <x v="91"/>
    <m/>
    <m/>
    <m/>
    <x v="8"/>
    <m/>
    <d v="1899-12-30T00:43:15"/>
    <d v="1899-12-30T00:44:10"/>
    <d v="1899-12-30T00:00:55"/>
    <x v="0"/>
    <s v="https://www.youtube.com/embed/ByaheAphduQ?start=2595&amp;end=2650&amp;autoplay=1"/>
    <s v="Good"/>
    <s v="Good"/>
    <s v="Good"/>
  </r>
  <r>
    <n v="59.13"/>
    <x v="0"/>
    <m/>
    <s v="Done-Content"/>
    <m/>
    <m/>
    <x v="92"/>
    <s v="Principle of Karma, reincarnation, cosmic unity are non-negotiable. No-history is suprior, many path to the truth is the Hindu way. To unite Hindus we should compare how other traditions are different from Hindu tradition rather than how we are different within."/>
    <m/>
    <m/>
    <x v="8"/>
    <m/>
    <d v="1899-12-30T00:46:00"/>
    <d v="1899-12-30T00:48:50"/>
    <d v="1899-12-30T00:02:50"/>
    <x v="0"/>
    <s v="https://www.youtube.com/embed/ByaheAphduQ?start=2760&amp;end=2930&amp;autoplay=1"/>
    <s v="Good"/>
    <s v="Good"/>
    <s v="Good"/>
  </r>
  <r>
    <n v="59.14"/>
    <x v="0"/>
    <m/>
    <s v="Done-Content"/>
    <m/>
    <m/>
    <x v="93"/>
    <s v="Hegal is orignator of western sense of unity. Hindus need this same concept for unity."/>
    <m/>
    <m/>
    <x v="8"/>
    <m/>
    <d v="1899-12-30T00:49:50"/>
    <d v="1899-12-30T00:50:41"/>
    <d v="1899-12-30T00:00:51"/>
    <x v="0"/>
    <s v="https://www.youtube.com/embed/ByaheAphduQ?start=2990&amp;end=3041&amp;autoplay=1"/>
    <s v="Good"/>
    <s v="Good"/>
    <s v="Good"/>
  </r>
  <r>
    <n v="60"/>
    <x v="1"/>
    <m/>
    <m/>
    <s v="https://www.youtube.com/watch?v=sc4OOSLMiQQ"/>
    <s v="Rajiv Malhotra: #1 Seminar in Houston, Book: Breaking India"/>
    <x v="18"/>
    <m/>
    <m/>
    <n v="2300"/>
    <x v="59"/>
    <s v="5 years ago"/>
    <m/>
    <m/>
    <m/>
    <x v="3"/>
    <m/>
    <m/>
    <m/>
    <m/>
  </r>
  <r>
    <n v="61"/>
    <x v="1"/>
    <m/>
    <m/>
    <s v="https://www.youtube.com/watch?v=QZxRsM9xvK4"/>
    <s v="Rajiv Malhotra: #3 Seminar in Houston, Book: Breaking India"/>
    <x v="18"/>
    <m/>
    <m/>
    <n v="709"/>
    <x v="60"/>
    <s v="5 years ago"/>
    <m/>
    <m/>
    <m/>
    <x v="3"/>
    <m/>
    <m/>
    <m/>
    <m/>
  </r>
  <r>
    <n v="62"/>
    <x v="0"/>
    <m/>
    <s v="Done-Content"/>
    <s v="https://www.youtube.com/watch?v=s3LVHHEe2vc"/>
    <s v="Rajiv Malhotra: #2 Seminar in Houston, Book: Breaking India"/>
    <x v="18"/>
    <m/>
    <m/>
    <n v="6100"/>
    <x v="61"/>
    <s v="5 years ago"/>
    <m/>
    <m/>
    <m/>
    <x v="12"/>
    <m/>
    <s v="Good"/>
    <s v="Good"/>
    <s v="Good"/>
  </r>
  <r>
    <n v="62.1"/>
    <x v="0"/>
    <m/>
    <s v="Done-Content"/>
    <m/>
    <m/>
    <x v="94"/>
    <m/>
    <m/>
    <m/>
    <x v="8"/>
    <m/>
    <d v="1899-12-30T00:04:12"/>
    <d v="1899-12-30T00:06:00"/>
    <d v="1899-12-30T00:01:48"/>
    <x v="12"/>
    <s v="https://www.youtube.com/embed/s3LVHHEe2vc?start=252&amp;end=360&amp;autoplay=1"/>
    <s v="Good"/>
    <s v="Good"/>
    <s v="Good"/>
  </r>
  <r>
    <n v="62.2"/>
    <x v="0"/>
    <m/>
    <s v="Done-Content"/>
    <m/>
    <m/>
    <x v="95"/>
    <s v="Sense of continuity, Teertha, Secrad Geography, Collective Destinity, Symbols, abusing some tradition, psychological sense of unity, sense of identify are being broken."/>
    <m/>
    <m/>
    <x v="8"/>
    <m/>
    <d v="1899-12-30T00:07:15"/>
    <d v="1899-12-30T00:09:21"/>
    <d v="1899-12-30T00:02:06"/>
    <x v="12"/>
    <s v="https://www.youtube.com/embed/s3LVHHEe2vc?start=435&amp;end=561&amp;autoplay=1"/>
    <s v="Good"/>
    <s v="Good"/>
    <s v="Good"/>
  </r>
  <r>
    <n v="62.3"/>
    <x v="0"/>
    <m/>
    <s v="Done-Content"/>
    <m/>
    <m/>
    <x v="96"/>
    <s v="Stage of development of Drvaidian theory. Linguistic separation-&gt; culture different-&gt; race different-&gt; religion -&gt; now Dravidian is not secular but Christian Dravdian."/>
    <m/>
    <m/>
    <x v="8"/>
    <m/>
    <d v="1899-12-30T00:12:10"/>
    <d v="1899-12-30T00:16:40"/>
    <d v="1899-12-30T00:04:30"/>
    <x v="12"/>
    <s v="https://www.youtube.com/embed/s3LVHHEe2vc?start=730&amp;end=1000&amp;autoplay=1"/>
    <s v="Good"/>
    <s v="Good"/>
    <s v="Good"/>
  </r>
  <r>
    <n v="62.4"/>
    <x v="0"/>
    <m/>
    <s v="Done-Content"/>
    <m/>
    <m/>
    <x v="97"/>
    <m/>
    <m/>
    <m/>
    <x v="8"/>
    <m/>
    <d v="1899-12-30T00:37:17"/>
    <d v="1899-12-30T00:39:00"/>
    <d v="1899-12-30T00:01:43"/>
    <x v="12"/>
    <s v="https://www.youtube.com/embed/s3LVHHEe2vc?start=2237&amp;end=2340&amp;autoplay=1"/>
    <s v="Good"/>
    <s v="Good"/>
    <s v="Good"/>
  </r>
  <r>
    <n v="62.5"/>
    <x v="0"/>
    <m/>
    <s v="Done-Content"/>
    <m/>
    <m/>
    <x v="98"/>
    <m/>
    <m/>
    <m/>
    <x v="8"/>
    <m/>
    <d v="1899-12-30T00:39:40"/>
    <d v="1899-12-30T00:41:15"/>
    <d v="1899-12-30T00:01:35"/>
    <x v="12"/>
    <s v="https://www.youtube.com/embed/s3LVHHEe2vc?start=2380&amp;end=2475&amp;autoplay=1"/>
    <s v="Good"/>
    <s v="Good"/>
    <s v="Good"/>
  </r>
  <r>
    <n v="62.6"/>
    <x v="0"/>
    <m/>
    <s v="Done-Content"/>
    <m/>
    <m/>
    <x v="99"/>
    <m/>
    <m/>
    <m/>
    <x v="8"/>
    <m/>
    <d v="1899-12-30T00:41:15"/>
    <d v="1899-12-30T00:43:50"/>
    <d v="1899-12-30T00:02:35"/>
    <x v="12"/>
    <s v="https://www.youtube.com/embed/s3LVHHEe2vc?start=2475&amp;end=2630&amp;autoplay=1"/>
    <s v="Good"/>
    <s v="Good"/>
    <s v="Good"/>
  </r>
  <r>
    <n v="62.7"/>
    <x v="0"/>
    <m/>
    <s v="Done-Content"/>
    <m/>
    <m/>
    <x v="100"/>
    <m/>
    <m/>
    <m/>
    <x v="8"/>
    <m/>
    <d v="1899-12-30T00:43:55"/>
    <d v="1899-12-30T00:47:20"/>
    <d v="1899-12-30T00:03:25"/>
    <x v="12"/>
    <s v="https://www.youtube.com/embed/s3LVHHEe2vc?start=2635&amp;end=2840&amp;autoplay=1"/>
    <s v="Good"/>
    <s v="Good"/>
    <s v="Good"/>
  </r>
  <r>
    <n v="63"/>
    <x v="1"/>
    <m/>
    <m/>
    <s v="https://www.youtube.com/watch?v=-3rtVbNkNNQ"/>
    <s v="Rajiv Malhotra: #4 Seminar in Houston, Book: Breaking India"/>
    <x v="18"/>
    <m/>
    <m/>
    <n v="1200"/>
    <x v="62"/>
    <s v="5 years ago"/>
    <m/>
    <m/>
    <m/>
    <x v="3"/>
    <m/>
    <m/>
    <m/>
    <m/>
  </r>
  <r>
    <n v="64"/>
    <x v="1"/>
    <m/>
    <m/>
    <s v="https://www.youtube.com/watch?v=ytrFjytVgtk"/>
    <s v="Seminar in Houston, Book: Breaking India #5"/>
    <x v="18"/>
    <m/>
    <m/>
    <n v="694"/>
    <x v="63"/>
    <s v="5 years ago"/>
    <m/>
    <m/>
    <m/>
    <x v="3"/>
    <m/>
    <m/>
    <m/>
    <m/>
  </r>
  <r>
    <n v="65"/>
    <x v="1"/>
    <m/>
    <m/>
    <s v="https://www.youtube.com/watch?v=28dLjjiriJA"/>
    <s v="Seminar in Houston, Book: Breaking India #6"/>
    <x v="18"/>
    <m/>
    <m/>
    <n v="588"/>
    <x v="64"/>
    <s v="5 years ago"/>
    <m/>
    <m/>
    <m/>
    <x v="3"/>
    <m/>
    <m/>
    <m/>
    <m/>
  </r>
  <r>
    <n v="66"/>
    <x v="1"/>
    <m/>
    <m/>
    <s v="https://www.youtube.com/watch?v=mhHQNrL_bkM"/>
    <s v="Houston Seminar on Breaking India: September 11, 2011 - Audience Q &amp; A with Rajiv Malhotra Vid 7"/>
    <x v="18"/>
    <m/>
    <m/>
    <n v="2900"/>
    <x v="65"/>
    <s v="5 years ago"/>
    <m/>
    <m/>
    <m/>
    <x v="3"/>
    <m/>
    <m/>
    <m/>
    <m/>
  </r>
  <r>
    <n v="67"/>
    <x v="1"/>
    <m/>
    <m/>
    <s v="https://www.youtube.com/watch?v=HZ6X5Xt1nS8"/>
    <s v="Houston Seminar on Breaking India: September 11, 2011 - Jayakumar (Chief Organizer) Vid 8"/>
    <x v="18"/>
    <m/>
    <m/>
    <n v="575"/>
    <x v="66"/>
    <s v="5 years ago"/>
    <m/>
    <m/>
    <m/>
    <x v="3"/>
    <m/>
    <m/>
    <m/>
    <m/>
  </r>
  <r>
    <n v="68"/>
    <x v="1"/>
    <m/>
    <m/>
    <s v="https://www.youtube.com/watch?v=IAmXafhUmYc"/>
    <s v="Introductory talk at Uberoi Foundation - Oct 1st, 2011"/>
    <x v="18"/>
    <m/>
    <m/>
    <n v="2500"/>
    <x v="67"/>
    <s v="5 years ago"/>
    <m/>
    <m/>
    <m/>
    <x v="3"/>
    <m/>
    <m/>
    <m/>
    <m/>
  </r>
  <r>
    <n v="69"/>
    <x v="1"/>
    <m/>
    <m/>
    <s v="https://www.youtube.com/watch?v=M-zdPqtp9Kk"/>
    <s v="Rajiv Malhotra at Univ. of Delhi, Psychology Department, presenting BEING DIFFERENT"/>
    <x v="18"/>
    <m/>
    <m/>
    <n v="2500"/>
    <x v="68"/>
    <s v="5 years ago"/>
    <m/>
    <m/>
    <m/>
    <x v="3"/>
    <m/>
    <m/>
    <m/>
    <m/>
  </r>
  <r>
    <n v="70"/>
    <x v="1"/>
    <m/>
    <m/>
    <s v="https://www.youtube.com/watch?v=J5mYtIH7Pho"/>
    <s v="HarperCollins launch of BEING DIFFERENT by Rajiv Malhotra - Part 1 - Preliminaries"/>
    <x v="18"/>
    <m/>
    <m/>
    <n v="568"/>
    <x v="69"/>
    <s v="5 years ago"/>
    <m/>
    <m/>
    <m/>
    <x v="3"/>
    <m/>
    <m/>
    <m/>
    <m/>
  </r>
  <r>
    <n v="71"/>
    <x v="1"/>
    <m/>
    <m/>
    <s v="https://www.youtube.com/watch?v=OpsoPcAUMbw"/>
    <s v="HarperCollins launch of BEING DIFFERENT - Pt 2 Pavan Verma Indian Ambassador to Bhutan"/>
    <x v="18"/>
    <m/>
    <m/>
    <n v="1100"/>
    <x v="70"/>
    <s v="5 years ago"/>
    <m/>
    <m/>
    <m/>
    <x v="3"/>
    <m/>
    <m/>
    <m/>
    <m/>
  </r>
  <r>
    <n v="72"/>
    <x v="1"/>
    <m/>
    <m/>
    <s v="https://www.youtube.com/watch?v=MlTxtaiX1xI"/>
    <s v="HarperCollins launch of BEING DIFFERENT by Rajiv Malhotra Part 3 - Madhu Khanna, Prof of Religion"/>
    <x v="18"/>
    <m/>
    <m/>
    <n v="868"/>
    <x v="71"/>
    <s v="5 years ago"/>
    <m/>
    <m/>
    <m/>
    <x v="3"/>
    <m/>
    <m/>
    <m/>
    <m/>
  </r>
  <r>
    <n v="73"/>
    <x v="1"/>
    <m/>
    <m/>
    <s v="https://www.youtube.com/watch?v=4yz6ZL-TC94"/>
    <s v="Mark Tully Discusses Rajiv Malhotra's Book BEING DIFFERENT"/>
    <x v="18"/>
    <m/>
    <m/>
    <n v="28000"/>
    <x v="72"/>
    <s v="5 years ago"/>
    <m/>
    <m/>
    <m/>
    <x v="3"/>
    <m/>
    <m/>
    <m/>
    <m/>
  </r>
  <r>
    <n v="74"/>
    <x v="0"/>
    <m/>
    <s v="Done-Content"/>
    <s v="https://www.youtube.com/watch?v=YFmL65VsWdk"/>
    <s v="Rajiv Malhotra's Book &quot;Being Different&quot; Event with Swami Dayananda Saraswati"/>
    <x v="18"/>
    <m/>
    <m/>
    <n v="4400"/>
    <x v="73"/>
    <s v="5 years ago"/>
    <m/>
    <m/>
    <m/>
    <x v="13"/>
    <m/>
    <s v="Good"/>
    <s v="Low"/>
    <s v="Good"/>
  </r>
  <r>
    <n v="74.010000000000005"/>
    <x v="0"/>
    <m/>
    <s v="Done-Content"/>
    <m/>
    <m/>
    <x v="101"/>
    <m/>
    <m/>
    <m/>
    <x v="8"/>
    <m/>
    <d v="1899-12-30T00:06:20"/>
    <d v="1899-12-30T00:06:50"/>
    <d v="1899-12-30T00:00:30"/>
    <x v="13"/>
    <s v="https://www.youtube.com/embed/YFmL65VsWdk?start=380&amp;end=410&amp;autoplay=1"/>
    <s v="Good"/>
    <s v="Ok"/>
    <s v="Good"/>
  </r>
  <r>
    <n v="74.02"/>
    <x v="0"/>
    <m/>
    <s v="Done-Content"/>
    <m/>
    <m/>
    <x v="102"/>
    <s v="Prophet is not Rishi, Energy in Shakti, Soul is not Atman, Gym is not Yoga? Civilization and words for something which they have experienced. Prophet does not have experience of unity but rishi has. Prophet is non producable. Rishi potential is with everyone."/>
    <m/>
    <m/>
    <x v="8"/>
    <m/>
    <d v="1899-12-30T00:06:53"/>
    <d v="1899-12-30T00:07:54"/>
    <d v="1899-12-30T00:01:01"/>
    <x v="13"/>
    <s v="https://www.youtube.com/embed/YFmL65VsWdk?start=413&amp;end=474&amp;autoplay=1"/>
    <s v="Good"/>
    <s v="Ok"/>
    <s v="Good"/>
  </r>
  <r>
    <n v="74.03"/>
    <x v="0"/>
    <m/>
    <s v="Done-Content"/>
    <m/>
    <m/>
    <x v="103"/>
    <m/>
    <m/>
    <m/>
    <x v="8"/>
    <m/>
    <d v="1899-12-30T00:10:14"/>
    <d v="1899-12-30T00:13:20"/>
    <d v="1899-12-30T00:03:06"/>
    <x v="13"/>
    <s v="https://www.youtube.com/embed/YFmL65VsWdk?start=614&amp;end=800&amp;autoplay=1"/>
    <s v="Good"/>
    <s v="Ok"/>
    <s v="Good"/>
  </r>
  <r>
    <n v="74.040000000000006"/>
    <x v="0"/>
    <m/>
    <s v="Done-Content"/>
    <m/>
    <m/>
    <x v="104"/>
    <s v="Karma, Reincarnation cannot be digested in Christianity."/>
    <m/>
    <m/>
    <x v="8"/>
    <m/>
    <d v="1899-12-30T00:13:21"/>
    <d v="1899-12-30T00:15:50"/>
    <d v="1899-12-30T00:02:29"/>
    <x v="13"/>
    <s v="https://www.youtube.com/embed/YFmL65VsWdk?start=801&amp;end=950&amp;autoplay=1"/>
    <s v="Good"/>
    <s v="Ok"/>
    <s v="Good"/>
  </r>
  <r>
    <n v="74.05"/>
    <x v="0"/>
    <m/>
    <s v="Done-Content"/>
    <m/>
    <m/>
    <x v="105"/>
    <m/>
    <m/>
    <m/>
    <x v="8"/>
    <m/>
    <d v="1899-12-30T00:14:15"/>
    <d v="1899-12-30T00:15:00"/>
    <d v="1899-12-30T00:00:45"/>
    <x v="13"/>
    <s v="https://www.youtube.com/embed/YFmL65VsWdk?start=855&amp;end=900&amp;autoplay=1"/>
    <s v="Good"/>
    <s v="Ok"/>
    <s v="Good"/>
  </r>
  <r>
    <n v="74.06"/>
    <x v="0"/>
    <m/>
    <s v="Done-Content"/>
    <m/>
    <m/>
    <x v="106"/>
    <m/>
    <m/>
    <m/>
    <x v="8"/>
    <m/>
    <d v="1899-12-30T00:15:05"/>
    <d v="1899-12-30T00:15:50"/>
    <d v="1899-12-30T00:00:45"/>
    <x v="13"/>
    <s v="https://www.youtube.com/embed/YFmL65VsWdk?start=905&amp;end=950&amp;autoplay=1"/>
    <s v="Good"/>
    <s v="Ok"/>
    <s v="Good"/>
  </r>
  <r>
    <n v="74.069999999999993"/>
    <x v="0"/>
    <m/>
    <s v="Done-Content"/>
    <m/>
    <m/>
    <x v="107"/>
    <m/>
    <m/>
    <m/>
    <x v="8"/>
    <m/>
    <d v="1899-12-30T00:16:05"/>
    <d v="1899-12-30T00:17:54"/>
    <d v="1899-12-30T00:01:49"/>
    <x v="13"/>
    <s v="https://www.youtube.com/embed/YFmL65VsWdk?start=965&amp;end=1074&amp;autoplay=1"/>
    <s v="Good"/>
    <s v="Ok"/>
    <s v="Good"/>
  </r>
  <r>
    <n v="74.08"/>
    <x v="0"/>
    <m/>
    <s v="Done-Content"/>
    <m/>
    <m/>
    <x v="108"/>
    <m/>
    <m/>
    <m/>
    <x v="8"/>
    <m/>
    <d v="1899-12-30T00:26:15"/>
    <d v="1899-12-30T00:32:00"/>
    <d v="1899-12-30T00:05:45"/>
    <x v="13"/>
    <s v="https://www.youtube.com/embed/YFmL65VsWdk?start=1575&amp;end=1920&amp;autoplay=1"/>
    <s v="Good"/>
    <s v="Ok"/>
    <s v="Good"/>
  </r>
  <r>
    <n v="74.09"/>
    <x v="0"/>
    <m/>
    <s v="Done-Content"/>
    <m/>
    <m/>
    <x v="109"/>
    <m/>
    <m/>
    <m/>
    <x v="8"/>
    <m/>
    <d v="1899-12-30T00:29:15"/>
    <d v="1899-12-30T00:31:06"/>
    <d v="1899-12-30T00:01:51"/>
    <x v="13"/>
    <s v="https://www.youtube.com/embed/YFmL65VsWdk?start=1755&amp;end=1866&amp;autoplay=1"/>
    <s v="Good"/>
    <s v="Ok"/>
    <s v="Good"/>
  </r>
  <r>
    <n v="74.099999999999994"/>
    <x v="0"/>
    <m/>
    <s v="Done-Content"/>
    <m/>
    <m/>
    <x v="110"/>
    <m/>
    <m/>
    <m/>
    <x v="8"/>
    <m/>
    <d v="1899-12-30T00:34:47"/>
    <d v="1899-12-30T00:36:47"/>
    <d v="1899-12-30T00:02:00"/>
    <x v="13"/>
    <s v="https://www.youtube.com/embed/YFmL65VsWdk?start=2087&amp;end=2207&amp;autoplay=1"/>
    <s v="Good"/>
    <s v="Ok"/>
    <s v="Good"/>
  </r>
  <r>
    <n v="74.11"/>
    <x v="0"/>
    <m/>
    <s v="Done-Content"/>
    <m/>
    <m/>
    <x v="111"/>
    <s v="Unity consiousness is blasphamy"/>
    <m/>
    <m/>
    <x v="8"/>
    <m/>
    <d v="1899-12-30T00:42:05"/>
    <d v="1899-12-30T00:46:40"/>
    <d v="1899-12-30T00:04:35"/>
    <x v="13"/>
    <s v="https://www.youtube.com/embed/YFmL65VsWdk?start=2525&amp;end=2800&amp;autoplay=1"/>
    <s v="Good"/>
    <s v="Ok"/>
    <s v="Good"/>
  </r>
  <r>
    <n v="75"/>
    <x v="1"/>
    <m/>
    <m/>
    <s v="https://www.youtube.com/watch?v=29-xoooHPaw"/>
    <s v="Being Different at YPO/WPO, Madras: Rajiv Malhotra's Talk"/>
    <x v="18"/>
    <m/>
    <m/>
    <n v="7300"/>
    <x v="74"/>
    <s v="5 years ago"/>
    <m/>
    <m/>
    <m/>
    <x v="3"/>
    <m/>
    <m/>
    <m/>
    <m/>
  </r>
  <r>
    <n v="76"/>
    <x v="1"/>
    <m/>
    <m/>
    <s v="https://www.youtube.com/watch?v=y1fdkGgCt64"/>
    <s v="IIT Madras: Rajiv Malhotra talk on &quot;Being Different&quot; Part 1"/>
    <x v="18"/>
    <m/>
    <m/>
    <n v="7900"/>
    <x v="75"/>
    <s v="5 years ago"/>
    <m/>
    <m/>
    <m/>
    <x v="3"/>
    <m/>
    <m/>
    <m/>
    <m/>
  </r>
  <r>
    <n v="77"/>
    <x v="1"/>
    <m/>
    <m/>
    <s v="https://www.youtube.com/watch?v=FNqQxPkLmPI"/>
    <s v="Being Different: IIT Madras Part 3 - Q&amp;A"/>
    <x v="18"/>
    <m/>
    <m/>
    <n v="11000"/>
    <x v="76"/>
    <s v="5 years ago"/>
    <m/>
    <m/>
    <m/>
    <x v="3"/>
    <m/>
    <m/>
    <m/>
    <m/>
  </r>
  <r>
    <n v="78"/>
    <x v="1"/>
    <m/>
    <m/>
    <s v="https://www.youtube.com/watch?v=54lSHTtU68A"/>
    <s v="Rajiv Malhotra's Opening Remarks- His Discussion with Prof Francis Clooney of Harvard: UMass 1"/>
    <x v="18"/>
    <m/>
    <m/>
    <n v="6600"/>
    <x v="77"/>
    <s v="5 years ago"/>
    <m/>
    <m/>
    <m/>
    <x v="3"/>
    <m/>
    <m/>
    <m/>
    <m/>
  </r>
  <r>
    <n v="79"/>
    <x v="0"/>
    <m/>
    <s v="Done-Content"/>
    <s v="https://www.youtube.com/watch?v=uDANJcQm-So"/>
    <s v="Response to BEING DIFFERENT by Prof Francis Clooney of Harvard: UMass 2"/>
    <x v="18"/>
    <m/>
    <m/>
    <n v="5800"/>
    <x v="78"/>
    <s v="5 years ago"/>
    <m/>
    <m/>
    <m/>
    <x v="14"/>
    <m/>
    <m/>
    <m/>
    <m/>
  </r>
  <r>
    <n v="79.010000000000005"/>
    <x v="0"/>
    <m/>
    <s v="Done-Content"/>
    <m/>
    <m/>
    <x v="112"/>
    <m/>
    <m/>
    <m/>
    <x v="8"/>
    <m/>
    <d v="1899-12-30T00:19:54"/>
    <d v="1899-12-30T00:21:32"/>
    <d v="1899-12-30T00:01:38"/>
    <x v="14"/>
    <s v="https://www.youtube.com/embed/uDANJcQm-So?start=1194&amp;end=1292&amp;autoplay=1"/>
    <m/>
    <m/>
    <m/>
  </r>
  <r>
    <n v="80"/>
    <x v="1"/>
    <m/>
    <m/>
    <s v="https://www.youtube.com/watch?v=aXm-YqwVmbs"/>
    <s v="Rajiv Malhotra's Response to Francis Clooney on BEING DIFFERENT: UMass 3"/>
    <x v="18"/>
    <m/>
    <m/>
    <n v="4500"/>
    <x v="79"/>
    <s v="5 years ago"/>
    <m/>
    <m/>
    <m/>
    <x v="3"/>
    <m/>
    <m/>
    <m/>
    <m/>
  </r>
  <r>
    <n v="81"/>
    <x v="1"/>
    <m/>
    <m/>
    <s v="https://www.youtube.com/watch?v=4eM5V0OXNNU"/>
    <s v="Being Different —Rajiv &amp; Francis Clooney's Q&amp;A with Students of UMass: 4"/>
    <x v="18"/>
    <m/>
    <m/>
    <n v="2000"/>
    <x v="80"/>
    <s v="5 years ago"/>
    <m/>
    <m/>
    <m/>
    <x v="3"/>
    <m/>
    <m/>
    <m/>
    <m/>
  </r>
  <r>
    <n v="82"/>
    <x v="1"/>
    <m/>
    <m/>
    <s v="https://www.youtube.com/watch?v=knJJGEYwaZw"/>
    <s v="IIT Madras Part 2 - Comments on BEING DIFFERENT by Prof. Nellickappilly &amp; Prof. Venkatakrishnan"/>
    <x v="18"/>
    <m/>
    <m/>
    <n v="3700"/>
    <x v="81"/>
    <s v="5 years ago"/>
    <m/>
    <m/>
    <m/>
    <x v="3"/>
    <m/>
    <m/>
    <m/>
    <m/>
  </r>
  <r>
    <n v="83"/>
    <x v="1"/>
    <m/>
    <m/>
    <s v="https://www.youtube.com/watch?v=3pxgnl2fHZg"/>
    <s v="Part 2- Mata Amritanandamayi's Univ: Ann Berliner, Prof. CA State Univ. Comments on BEING DIFFERENT"/>
    <x v="18"/>
    <m/>
    <m/>
    <n v="965"/>
    <x v="82"/>
    <s v="5 years ago"/>
    <m/>
    <m/>
    <m/>
    <x v="3"/>
    <m/>
    <m/>
    <m/>
    <m/>
  </r>
  <r>
    <n v="84"/>
    <x v="1"/>
    <m/>
    <m/>
    <s v="https://www.youtube.com/watch?v=TEUt7CVuFbI"/>
    <s v="Being Different: India's Challenge to Western Universalism_Full Talk"/>
    <x v="18"/>
    <m/>
    <m/>
    <n v="3900"/>
    <x v="83"/>
    <s v="5 years ago"/>
    <m/>
    <m/>
    <m/>
    <x v="3"/>
    <m/>
    <m/>
    <m/>
    <m/>
  </r>
  <r>
    <n v="85"/>
    <x v="1"/>
    <m/>
    <m/>
    <s v="https://www.youtube.com/watch?v=z1wT-GurohQ"/>
    <s v="IISc Video 2 - Comments by T.V. Mohandas Pai, Former Board member of Infosys"/>
    <x v="18"/>
    <m/>
    <m/>
    <n v="3500"/>
    <x v="84"/>
    <s v="5 years ago"/>
    <m/>
    <m/>
    <m/>
    <x v="3"/>
    <m/>
    <m/>
    <m/>
    <m/>
  </r>
  <r>
    <n v="86"/>
    <x v="1"/>
    <m/>
    <m/>
    <s v="https://www.youtube.com/watch?v=f-XdG6v-RWk"/>
    <s v="Rajiv Malhotra explains his Systems Model of History Centrism at IISc"/>
    <x v="18"/>
    <m/>
    <m/>
    <n v="7400"/>
    <x v="85"/>
    <s v="5 years ago"/>
    <m/>
    <m/>
    <m/>
    <x v="3"/>
    <m/>
    <m/>
    <m/>
    <m/>
  </r>
  <r>
    <n v="87"/>
    <x v="1"/>
    <m/>
    <m/>
    <s v="https://www.youtube.com/watch?v=BcDC-Op1hJc"/>
    <s v="IISc Video 3 - Comments by Roddam Narasimha, Scientist"/>
    <x v="18"/>
    <m/>
    <m/>
    <n v="4000"/>
    <x v="86"/>
    <s v="5 years ago"/>
    <m/>
    <m/>
    <m/>
    <x v="3"/>
    <m/>
    <m/>
    <m/>
    <m/>
  </r>
  <r>
    <n v="88"/>
    <x v="1"/>
    <m/>
    <m/>
    <s v="https://www.youtube.com/watch?v=lXmhJr1LDyI"/>
    <s v="IISc Video 4 - Q &amp; A"/>
    <x v="18"/>
    <m/>
    <m/>
    <n v="4100"/>
    <x v="87"/>
    <s v="5 years ago"/>
    <m/>
    <m/>
    <m/>
    <x v="3"/>
    <m/>
    <m/>
    <m/>
    <m/>
  </r>
  <r>
    <n v="89"/>
    <x v="1"/>
    <m/>
    <m/>
    <s v="https://www.youtube.com/watch?v=Wrs0XEoFHAM"/>
    <s v="Rajiv Malhotra's TV Interview with Prof. Thakur of Jawaharlal Nehru University"/>
    <x v="18"/>
    <m/>
    <m/>
    <n v="15000"/>
    <x v="88"/>
    <s v="5 years ago"/>
    <m/>
    <m/>
    <m/>
    <x v="3"/>
    <m/>
    <s v="Bad"/>
    <s v="Yes"/>
    <s v="Yes"/>
  </r>
  <r>
    <n v="90"/>
    <x v="1"/>
    <m/>
    <m/>
    <s v="https://www.youtube.com/watch?v=O0wEzvYOTJw"/>
    <s v="Breaking India book by Rajiv Malhotra Bangalore_ Intro by TS Mohan #1"/>
    <x v="18"/>
    <m/>
    <m/>
    <n v="4400"/>
    <x v="2"/>
    <s v="5 years ago"/>
    <m/>
    <m/>
    <m/>
    <x v="3"/>
    <m/>
    <m/>
    <m/>
    <m/>
  </r>
  <r>
    <n v="91"/>
    <x v="2"/>
    <m/>
    <s v="Done-Content"/>
    <s v="https://www.youtube.com/watch?v=G3NpQQMh8jQ"/>
    <s v="Breaking India book by Rajiv Malhotra: Talk by Dr Swamy Part 2"/>
    <x v="18"/>
    <m/>
    <m/>
    <n v="44000"/>
    <x v="89"/>
    <s v="5 years ago"/>
    <m/>
    <m/>
    <m/>
    <x v="4"/>
    <m/>
    <m/>
    <m/>
    <m/>
  </r>
  <r>
    <n v="91.01"/>
    <x v="2"/>
    <m/>
    <s v="Done-Content"/>
    <m/>
    <m/>
    <x v="113"/>
    <s v="Defining who an Indian is"/>
    <m/>
    <m/>
    <x v="8"/>
    <m/>
    <d v="1899-12-30T00:01:31"/>
    <d v="1899-12-30T00:04:00"/>
    <d v="1899-12-30T00:02:29"/>
    <x v="4"/>
    <s v="https://www.youtube.com/embed/G3NpQQMh8jQ?start=91&amp;end=240&amp;autoplay=1"/>
    <s v="Good"/>
    <s v="Good"/>
    <s v="Good"/>
  </r>
  <r>
    <n v="91.02"/>
    <x v="2"/>
    <m/>
    <s v="Done-Content"/>
    <m/>
    <m/>
    <x v="114"/>
    <s v="The forces at play to break India over the years"/>
    <m/>
    <m/>
    <x v="8"/>
    <m/>
    <d v="1899-12-30T00:04:01"/>
    <d v="1899-12-30T00:05:43"/>
    <d v="1899-12-30T00:01:42"/>
    <x v="4"/>
    <s v="https://www.youtube.com/embed/G3NpQQMh8jQ?start=241&amp;end=343&amp;autoplay=1"/>
    <s v="Good"/>
    <s v="Good"/>
    <s v="Good"/>
  </r>
  <r>
    <n v="91.03"/>
    <x v="2"/>
    <m/>
    <s v="Done-Content"/>
    <m/>
    <m/>
    <x v="115"/>
    <s v="Debunking the Aryan Dravidian divide"/>
    <m/>
    <m/>
    <x v="8"/>
    <m/>
    <d v="1899-12-30T00:05:43"/>
    <d v="1899-12-30T00:15:03"/>
    <d v="1899-12-30T00:09:20"/>
    <x v="4"/>
    <s v="https://www.youtube.com/embed/G3NpQQMh8jQ?start=343&amp;end=903&amp;autoplay=1"/>
    <s v="Good"/>
    <s v="Good"/>
    <s v="Good"/>
  </r>
  <r>
    <n v="91.04"/>
    <x v="2"/>
    <m/>
    <s v="Done-Content"/>
    <m/>
    <m/>
    <x v="116"/>
    <s v="How India has managed to maintain its Hindu majority"/>
    <m/>
    <m/>
    <x v="8"/>
    <m/>
    <d v="1899-12-30T00:15:03"/>
    <d v="1899-12-30T00:18:45"/>
    <d v="1899-12-30T00:03:42"/>
    <x v="4"/>
    <s v="https://www.youtube.com/embed/G3NpQQMh8jQ?start=903&amp;end=1125&amp;autoplay=1"/>
    <s v="Good"/>
    <s v="Good"/>
    <s v="Good"/>
  </r>
  <r>
    <n v="91.05"/>
    <x v="2"/>
    <m/>
    <s v="Done-Content"/>
    <m/>
    <m/>
    <x v="117"/>
    <s v="Creating a collective consciousness among Hindus"/>
    <m/>
    <m/>
    <x v="8"/>
    <m/>
    <d v="1899-12-30T00:19:31"/>
    <d v="1899-12-30T00:22:53"/>
    <d v="1899-12-30T00:03:22"/>
    <x v="4"/>
    <s v="https://www.youtube.com/embed/G3NpQQMh8jQ?start=1171&amp;end=1373&amp;autoplay=1"/>
    <s v="Good"/>
    <s v="Good"/>
    <s v="Good"/>
  </r>
  <r>
    <n v="91.06"/>
    <x v="2"/>
    <m/>
    <s v="Done-Content"/>
    <m/>
    <m/>
    <x v="118"/>
    <s v="RM uses the same language and articulation style as the Western world"/>
    <m/>
    <m/>
    <x v="8"/>
    <m/>
    <d v="1899-12-30T00:22:53"/>
    <d v="1899-12-30T00:24:14"/>
    <d v="1899-12-30T00:01:21"/>
    <x v="4"/>
    <s v="https://www.youtube.com/embed/G3NpQQMh8jQ?start=1373&amp;end=1454&amp;autoplay=1"/>
    <s v="Good"/>
    <s v="Good"/>
    <s v="Good"/>
  </r>
  <r>
    <n v="91.07"/>
    <x v="2"/>
    <m/>
    <s v="Done-Content"/>
    <m/>
    <m/>
    <x v="119"/>
    <s v="Thoughts on reservation, varna and jati"/>
    <m/>
    <m/>
    <x v="8"/>
    <m/>
    <d v="1899-12-30T00:24:21"/>
    <d v="1899-12-30T00:32:04"/>
    <d v="1899-12-30T00:07:43"/>
    <x v="4"/>
    <s v="https://www.youtube.com/embed/G3NpQQMh8jQ?start=1461&amp;end=1924&amp;autoplay=1"/>
    <s v="Good"/>
    <s v="Good"/>
    <s v="Good"/>
  </r>
  <r>
    <n v="92"/>
    <x v="1"/>
    <m/>
    <m/>
    <s v="https://www.youtube.com/watch?v=VP5gPVW3XDM"/>
    <s v="Being Different or Being Digested - Univ of Massachusetts"/>
    <x v="18"/>
    <m/>
    <m/>
    <n v="6300"/>
    <x v="90"/>
    <s v="5 years ago"/>
    <m/>
    <m/>
    <m/>
    <x v="3"/>
    <m/>
    <m/>
    <m/>
    <m/>
  </r>
  <r>
    <n v="93"/>
    <x v="1"/>
    <m/>
    <m/>
    <s v="https://www.youtube.com/watch?v=0uPW7Jf9y7o"/>
    <s v="Rajiv Malhotra's Talk at Kitab Khana, Mumbai's Premier Bookstore"/>
    <x v="18"/>
    <m/>
    <m/>
    <n v="986"/>
    <x v="91"/>
    <s v="5 years ago"/>
    <m/>
    <m/>
    <m/>
    <x v="3"/>
    <m/>
    <m/>
    <m/>
    <m/>
  </r>
  <r>
    <n v="94"/>
    <x v="0"/>
    <m/>
    <s v="Done-Content"/>
    <s v="https://www.youtube.com/watch?v=fjD9BVlmPoA"/>
    <s v="Rajiv Malhotra's Keynote Address at Institute of Social &amp; Economical Change, Bangalore"/>
    <x v="18"/>
    <m/>
    <m/>
    <n v="2500"/>
    <x v="92"/>
    <s v="5 years ago"/>
    <m/>
    <m/>
    <m/>
    <x v="15"/>
    <m/>
    <m/>
    <m/>
    <m/>
  </r>
  <r>
    <n v="94.01"/>
    <x v="0"/>
    <m/>
    <s v="Done-Content"/>
    <m/>
    <m/>
    <x v="120"/>
    <m/>
    <m/>
    <m/>
    <x v="8"/>
    <m/>
    <d v="1899-12-30T00:15:04"/>
    <d v="1899-12-30T00:23:39"/>
    <d v="1899-12-30T00:08:35"/>
    <x v="15"/>
    <s v="https://www.youtube.com/embed/fjD9BVlmPoA?start=904&amp;end=1419&amp;autoplay=1"/>
    <m/>
    <m/>
    <m/>
  </r>
  <r>
    <n v="94.02"/>
    <x v="0"/>
    <m/>
    <s v="Done-Content"/>
    <m/>
    <m/>
    <x v="121"/>
    <s v="World is for man's exploitation. Man centric, selfish. This model is not viable, scalable."/>
    <m/>
    <m/>
    <x v="8"/>
    <m/>
    <d v="1899-12-30T00:28:29"/>
    <d v="1899-12-30T00:30:50"/>
    <d v="1899-12-30T00:02:21"/>
    <x v="15"/>
    <s v="https://www.youtube.com/embed/fjD9BVlmPoA?start=1709&amp;end=1850&amp;autoplay=1"/>
    <m/>
    <m/>
    <m/>
  </r>
  <r>
    <n v="94.03"/>
    <x v="0"/>
    <m/>
    <s v="Done-Content"/>
    <m/>
    <m/>
    <x v="122"/>
    <m/>
    <m/>
    <m/>
    <x v="8"/>
    <m/>
    <d v="1899-12-30T00:39:05"/>
    <d v="1899-12-30T00:40:40"/>
    <d v="1899-12-30T00:01:35"/>
    <x v="15"/>
    <s v="https://www.youtube.com/embed/fjD9BVlmPoA?start=2345&amp;end=2440&amp;autoplay=1"/>
    <m/>
    <m/>
    <m/>
  </r>
  <r>
    <n v="94.04"/>
    <x v="0"/>
    <m/>
    <s v="Done-Content"/>
    <m/>
    <m/>
    <x v="123"/>
    <m/>
    <m/>
    <m/>
    <x v="8"/>
    <m/>
    <d v="1899-12-30T00:40:50"/>
    <d v="1899-12-30T00:47:50"/>
    <d v="1899-12-30T00:07:00"/>
    <x v="15"/>
    <s v="https://www.youtube.com/embed/fjD9BVlmPoA?start=2450&amp;end=2870&amp;autoplay=1"/>
    <m/>
    <m/>
    <m/>
  </r>
  <r>
    <n v="94.05"/>
    <x v="0"/>
    <m/>
    <s v="Done-Content"/>
    <m/>
    <m/>
    <x v="124"/>
    <m/>
    <m/>
    <m/>
    <x v="8"/>
    <m/>
    <d v="1899-12-30T00:58:54"/>
    <d v="1899-12-30T01:06:19"/>
    <d v="1899-12-30T00:07:25"/>
    <x v="15"/>
    <s v="https://www.youtube.com/embed/fjD9BVlmPoA?start=3534&amp;end=3979&amp;autoplay=1"/>
    <m/>
    <m/>
    <m/>
  </r>
  <r>
    <n v="94.06"/>
    <x v="0"/>
    <m/>
    <s v="Done-Content"/>
    <m/>
    <m/>
    <x v="125"/>
    <s v="U turner's work is very helpful in this"/>
    <m/>
    <m/>
    <x v="8"/>
    <m/>
    <d v="1899-12-30T01:08:00"/>
    <d v="1899-12-30T01:11:10"/>
    <d v="1899-12-30T00:03:10"/>
    <x v="15"/>
    <s v="https://www.youtube.com/embed/fjD9BVlmPoA?start=4080&amp;end=4270&amp;autoplay=1"/>
    <m/>
    <m/>
    <m/>
  </r>
  <r>
    <n v="94.07"/>
    <x v="0"/>
    <m/>
    <s v="Done-Content"/>
    <m/>
    <m/>
    <x v="126"/>
    <m/>
    <m/>
    <m/>
    <x v="8"/>
    <m/>
    <d v="1899-12-30T01:15:10"/>
    <d v="1899-12-30T01:17:20"/>
    <d v="1899-12-30T00:02:10"/>
    <x v="15"/>
    <s v="https://www.youtube.com/embed/fjD9BVlmPoA?start=4510&amp;end=4640&amp;autoplay=1"/>
    <m/>
    <m/>
    <m/>
  </r>
  <r>
    <n v="94.08"/>
    <x v="0"/>
    <m/>
    <s v="Done-Content"/>
    <m/>
    <m/>
    <x v="127"/>
    <s v="Indian Diasphora types: Spritual, Modern Professional, Language based"/>
    <m/>
    <m/>
    <x v="8"/>
    <m/>
    <d v="1899-12-30T01:17:25"/>
    <d v="1899-12-30T01:21:21"/>
    <d v="1899-12-30T00:03:56"/>
    <x v="15"/>
    <s v="https://www.youtube.com/embed/fjD9BVlmPoA?start=4645&amp;end=4881&amp;autoplay=1"/>
    <m/>
    <m/>
    <m/>
  </r>
  <r>
    <n v="94.09"/>
    <x v="0"/>
    <m/>
    <s v="Done-Content"/>
    <m/>
    <m/>
    <x v="128"/>
    <m/>
    <m/>
    <m/>
    <x v="8"/>
    <m/>
    <d v="1899-12-30T01:21:25"/>
    <d v="1899-12-30T01:22:10"/>
    <d v="1899-12-30T00:00:45"/>
    <x v="15"/>
    <s v="https://www.youtube.com/embed/fjD9BVlmPoA?start=4885&amp;end=4930&amp;autoplay=1"/>
    <m/>
    <m/>
    <m/>
  </r>
  <r>
    <n v="94.1"/>
    <x v="0"/>
    <m/>
    <s v="Done-Content"/>
    <m/>
    <m/>
    <x v="129"/>
    <m/>
    <m/>
    <m/>
    <x v="8"/>
    <m/>
    <d v="1899-12-30T01:22:20"/>
    <d v="1899-12-30T01:28:15"/>
    <d v="1899-12-30T00:05:55"/>
    <x v="15"/>
    <s v="https://www.youtube.com/embed/fjD9BVlmPoA?start=4940&amp;end=5295&amp;autoplay=1"/>
    <m/>
    <m/>
    <m/>
  </r>
  <r>
    <n v="95"/>
    <x v="1"/>
    <m/>
    <m/>
    <s v="https://www.youtube.com/watch?v=iGpYgqX-p8c"/>
    <s v="Rajiv Malhotra at Somaiya Institutes, Mumbai - Part 1: Introduction (in Sanskrit &amp; English)"/>
    <x v="18"/>
    <m/>
    <m/>
    <n v="1500"/>
    <x v="93"/>
    <s v="5 years ago"/>
    <m/>
    <m/>
    <m/>
    <x v="3"/>
    <m/>
    <m/>
    <m/>
    <m/>
  </r>
  <r>
    <n v="96"/>
    <x v="1"/>
    <m/>
    <m/>
    <s v="https://www.youtube.com/watch?v=schP-IZS5Sw"/>
    <s v="Rajiv Malhotra at Somaiya Institute, Mumbai: #3 Hindi Q&amp;A"/>
    <x v="18"/>
    <m/>
    <m/>
    <n v="1200"/>
    <x v="94"/>
    <s v="5 years ago"/>
    <m/>
    <m/>
    <m/>
    <x v="3"/>
    <m/>
    <m/>
    <m/>
    <m/>
  </r>
  <r>
    <n v="97"/>
    <x v="1"/>
    <m/>
    <m/>
    <s v="https://www.youtube.com/watch?v=gmu_fBglk-A"/>
    <s v="Rajiv Malhotra at Somaiya Institutes, Mumbai - Part 4: English Q&amp;A"/>
    <x v="18"/>
    <m/>
    <m/>
    <n v="1900"/>
    <x v="95"/>
    <s v="5 years ago"/>
    <m/>
    <m/>
    <m/>
    <x v="3"/>
    <m/>
    <m/>
    <m/>
    <m/>
  </r>
  <r>
    <n v="98"/>
    <x v="1"/>
    <m/>
    <m/>
    <s v="https://www.youtube.com/watch?v=-WPYCv8jdJc"/>
    <s v="Rajiv Malhotra at Somaiya Institutes, Mumbai - Part 2: Lecture"/>
    <x v="18"/>
    <m/>
    <m/>
    <n v="2300"/>
    <x v="96"/>
    <s v="5 years ago"/>
    <m/>
    <m/>
    <m/>
    <x v="3"/>
    <m/>
    <m/>
    <m/>
    <m/>
  </r>
  <r>
    <n v="99"/>
    <x v="1"/>
    <m/>
    <m/>
    <s v="https://www.youtube.com/watch?v=91dtNzk71IA"/>
    <s v="Rajiv Malhotra Lecture at Young Presidents' Organization, Kolkata"/>
    <x v="18"/>
    <m/>
    <m/>
    <n v="1400"/>
    <x v="97"/>
    <s v="5 years ago"/>
    <m/>
    <m/>
    <m/>
    <x v="3"/>
    <m/>
    <m/>
    <m/>
    <m/>
  </r>
  <r>
    <n v="100"/>
    <x v="1"/>
    <m/>
    <m/>
    <s v="https://www.youtube.com/watch?v=SrCfhdoTLfg"/>
    <s v="Keynote at Spirituality &amp; Management Conference, IIM B"/>
    <x v="18"/>
    <m/>
    <m/>
    <n v="3700"/>
    <x v="98"/>
    <s v="5 years ago"/>
    <m/>
    <m/>
    <m/>
    <x v="3"/>
    <m/>
    <m/>
    <m/>
    <m/>
  </r>
  <r>
    <n v="101"/>
    <x v="1"/>
    <m/>
    <m/>
    <s v="https://www.youtube.com/watch?v=nmbYnYYpa6g"/>
    <s v="Talk at Bhabha Atomic Research Center, Mumbai: Rajiv Malhotra"/>
    <x v="18"/>
    <m/>
    <m/>
    <n v="22000"/>
    <x v="99"/>
    <s v="5 years ago"/>
    <m/>
    <m/>
    <m/>
    <x v="3"/>
    <m/>
    <m/>
    <m/>
    <m/>
  </r>
  <r>
    <n v="102"/>
    <x v="0"/>
    <m/>
    <s v="Done-Content"/>
    <s v="https://www.youtube.com/watch?v=NPNImjeRrF8"/>
    <s v="Rajiv Malhotra talk at Arsha Vidya"/>
    <x v="130"/>
    <s v="Why we need Hindu Identify _x000a_Will it not create conflict?_x000a_No Because we have concept of mutual respect. Other has concept of tolerance. We do not claim exclusivity._x000a_We all are American, why does it matter that we are Hindu, Chinese or Japanese?_x000a_America is fine with hyphenated Identify - African American, Native American, British American etc._x000a_hyphenated is fine with Religious Identify - Catholic American, Jews American, American Muslim etc._x000a_As per Advaita Vedanta everything is Maya. So identify is useless. Identify only belongs to Dualistic. So why need Idenity?_x000a_In Leela you have identity and you play your role as per Identify."/>
    <m/>
    <n v="1300"/>
    <x v="100"/>
    <s v="5 years ago"/>
    <m/>
    <m/>
    <m/>
    <x v="16"/>
    <m/>
    <s v="Good"/>
    <s v="Good"/>
    <s v="Good"/>
  </r>
  <r>
    <n v="103"/>
    <x v="0"/>
    <m/>
    <s v="Done-Content"/>
    <s v="https://www.youtube.com/watch?v=8RSu4ymCgp4"/>
    <s v="Rajiv Malhotra's Lecture on U-Turn Theory, Lady Sri Ram College, Delhi"/>
    <x v="18"/>
    <m/>
    <m/>
    <n v="7900"/>
    <x v="101"/>
    <s v="5 years ago"/>
    <m/>
    <m/>
    <m/>
    <x v="16"/>
    <m/>
    <s v="Good"/>
    <s v="Good"/>
    <s v="Good"/>
  </r>
  <r>
    <n v="103.01"/>
    <x v="0"/>
    <m/>
    <s v="Done-Content"/>
    <m/>
    <m/>
    <x v="131"/>
    <s v="1- Understanding the Indian thought with great respect_x000a_2- Erase the Indian origin and consider it generic, because of various reasons_x000a_3- Behave like it is part of their own culture. Like christian, jews or scientific idea. _x000a_4- Hate the India source_x000a_5- Final knowledge is imported into India as a new Idea"/>
    <m/>
    <m/>
    <x v="8"/>
    <m/>
    <d v="1899-12-30T00:00:25"/>
    <d v="1899-12-30T00:04:26"/>
    <d v="1899-12-30T00:04:01"/>
    <x v="16"/>
    <s v="https://www.youtube.com/embed/8RSu4ymCgp4?start=25&amp;end=266&amp;autoplay=1"/>
    <s v="Good"/>
    <s v="Good"/>
    <s v="Good"/>
  </r>
  <r>
    <n v="103.02"/>
    <x v="0"/>
    <m/>
    <s v="Done-Content"/>
    <m/>
    <m/>
    <x v="132"/>
    <s v="Harvard Medical School- Discoveries in the science of Meditation"/>
    <m/>
    <m/>
    <x v="8"/>
    <m/>
    <d v="1899-12-30T00:22:23"/>
    <d v="1899-12-30T00:32:15"/>
    <d v="1899-12-30T00:09:52"/>
    <x v="16"/>
    <s v="https://www.youtube.com/embed/8RSu4ymCgp4?start=1343&amp;end=1935&amp;autoplay=1"/>
    <s v="Good"/>
    <s v="Good"/>
    <s v="Good"/>
  </r>
  <r>
    <n v="103.03"/>
    <x v="0"/>
    <m/>
    <s v="Done-Content"/>
    <m/>
    <m/>
    <x v="133"/>
    <s v="Famous as the originator of Stress Management in the West. Author of Best Seller book Emotional Intelligence"/>
    <m/>
    <m/>
    <x v="8"/>
    <m/>
    <d v="1899-12-30T00:32:20"/>
    <d v="1899-12-30T00:33:25"/>
    <d v="1899-12-30T00:01:05"/>
    <x v="16"/>
    <s v="https://www.youtube.com/embed/8RSu4ymCgp4?start=1940&amp;end=2005&amp;autoplay=1"/>
    <s v="Good"/>
    <s v="Good"/>
    <s v="Good"/>
  </r>
  <r>
    <n v="103.04"/>
    <x v="0"/>
    <m/>
    <s v="Done-Content"/>
    <m/>
    <m/>
    <x v="134"/>
    <s v="Reverse Heart Disease Cardiac Treatment Experimenter_x000a_"/>
    <m/>
    <m/>
    <x v="8"/>
    <m/>
    <d v="1899-12-30T00:33:30"/>
    <d v="1899-12-30T00:34:30"/>
    <d v="1899-12-30T00:01:00"/>
    <x v="16"/>
    <s v="https://www.youtube.com/embed/8RSu4ymCgp4?start=2010&amp;end=2070&amp;autoplay=1"/>
    <s v="Good"/>
    <s v="Good"/>
    <s v="Good"/>
  </r>
  <r>
    <n v="103.05"/>
    <x v="0"/>
    <m/>
    <s v="Done-Content"/>
    <m/>
    <m/>
    <x v="135"/>
    <s v="Founder of Mindful Mediation. Which is originally Vipassana_x000a_"/>
    <m/>
    <m/>
    <x v="8"/>
    <m/>
    <d v="1899-12-30T00:34:34"/>
    <d v="1899-12-30T00:36:32"/>
    <d v="1899-12-30T00:01:58"/>
    <x v="16"/>
    <s v="https://www.youtube.com/embed/8RSu4ymCgp4?start=2074&amp;end=2192&amp;autoplay=1"/>
    <s v="Good"/>
    <s v="Good"/>
    <s v="Good"/>
  </r>
  <r>
    <n v="103.06"/>
    <x v="0"/>
    <m/>
    <s v="Done-Content"/>
    <m/>
    <m/>
    <x v="136"/>
    <s v="Prominent Professor of Cognitive Sciences At Stanford University. Yoga Nidra, Lucid Dreaming experiment."/>
    <m/>
    <m/>
    <x v="8"/>
    <m/>
    <d v="1899-12-30T00:36:44"/>
    <d v="1899-12-30T00:38:50"/>
    <d v="1899-12-30T00:02:06"/>
    <x v="16"/>
    <s v="https://www.youtube.com/embed/8RSu4ymCgp4?start=2204&amp;end=2330&amp;autoplay=1"/>
    <s v="Good"/>
    <s v="Good"/>
    <s v="Good"/>
  </r>
  <r>
    <n v="103.07"/>
    <x v="0"/>
    <m/>
    <s v="Done-Content"/>
    <m/>
    <m/>
    <x v="137"/>
    <s v="Late Professor, Cognitive Nerosciences and brain Imaging Laboratory, Paris"/>
    <m/>
    <m/>
    <x v="8"/>
    <m/>
    <d v="1899-12-30T00:38:55"/>
    <d v="1899-12-30T00:42:05"/>
    <d v="1899-12-30T00:03:10"/>
    <x v="16"/>
    <s v="https://www.youtube.com/embed/8RSu4ymCgp4?start=2335&amp;end=2525&amp;autoplay=1"/>
    <s v="Good"/>
    <s v="Good"/>
    <s v="Good"/>
  </r>
  <r>
    <n v="103.08"/>
    <x v="0"/>
    <m/>
    <s v="Done-Content"/>
    <m/>
    <m/>
    <x v="138"/>
    <s v="Student of Francisco Varela"/>
    <m/>
    <m/>
    <x v="8"/>
    <m/>
    <d v="1899-12-30T00:42:08"/>
    <d v="1899-12-30T00:43:09"/>
    <d v="1899-12-30T00:01:01"/>
    <x v="16"/>
    <s v="https://www.youtube.com/embed/8RSu4ymCgp4?start=2528&amp;end=2589&amp;autoplay=1"/>
    <s v="Good"/>
    <s v="Good"/>
    <s v="Good"/>
  </r>
  <r>
    <n v="103.09"/>
    <x v="0"/>
    <m/>
    <s v="Done-Content"/>
    <m/>
    <m/>
    <x v="139"/>
    <s v="Roberto Assagioli - Contemporary of Freud and the founder of psycho-synthesis. Transpersonal Psychology"/>
    <m/>
    <m/>
    <x v="8"/>
    <m/>
    <d v="1899-12-30T00:44:10"/>
    <d v="1899-12-30T00:46:10"/>
    <d v="1899-12-30T00:02:00"/>
    <x v="16"/>
    <s v="https://www.youtube.com/embed/8RSu4ymCgp4?start=2650&amp;end=2770&amp;autoplay=1"/>
    <s v="Good"/>
    <s v="Good"/>
    <s v="Good"/>
  </r>
  <r>
    <n v="103.1"/>
    <x v="0"/>
    <m/>
    <s v="Done-Content"/>
    <m/>
    <m/>
    <x v="140"/>
    <s v="Latest icon of Transpersonal Psychology in the west"/>
    <m/>
    <m/>
    <x v="8"/>
    <m/>
    <d v="1899-12-30T00:46:20"/>
    <d v="1899-12-30T00:53:40"/>
    <d v="1899-12-30T00:07:20"/>
    <x v="16"/>
    <s v="https://www.youtube.com/embed/8RSu4ymCgp4?start=2780&amp;end=3220&amp;autoplay=1"/>
    <s v="Good"/>
    <s v="Good"/>
    <s v="Good"/>
  </r>
  <r>
    <n v="103.11"/>
    <x v="0"/>
    <m/>
    <s v="Done-Content"/>
    <m/>
    <m/>
    <x v="141"/>
    <m/>
    <m/>
    <m/>
    <x v="8"/>
    <m/>
    <d v="1899-12-30T00:54:20"/>
    <d v="1899-12-30T00:56:30"/>
    <d v="1899-12-30T00:02:10"/>
    <x v="16"/>
    <s v="https://www.youtube.com/embed/8RSu4ymCgp4?start=3260&amp;end=3390&amp;autoplay=1"/>
    <s v="Good"/>
    <s v="Good"/>
    <s v="Good"/>
  </r>
  <r>
    <n v="103.12"/>
    <x v="0"/>
    <m/>
    <s v="Done-Content"/>
    <m/>
    <m/>
    <x v="142"/>
    <m/>
    <m/>
    <m/>
    <x v="8"/>
    <m/>
    <d v="1899-12-30T00:56:37"/>
    <d v="1899-12-30T00:59:30"/>
    <d v="1899-12-30T00:02:53"/>
    <x v="16"/>
    <s v="https://www.youtube.com/embed/8RSu4ymCgp4?start=3397&amp;end=3570&amp;autoplay=1"/>
    <s v="Good"/>
    <s v="Good"/>
    <s v="Good"/>
  </r>
  <r>
    <n v="103.13"/>
    <x v="0"/>
    <m/>
    <s v="Done-Content"/>
    <m/>
    <m/>
    <x v="143"/>
    <m/>
    <m/>
    <m/>
    <x v="8"/>
    <m/>
    <d v="1899-12-30T00:59:38"/>
    <d v="1899-12-30T01:00:00"/>
    <d v="1899-12-30T00:00:22"/>
    <x v="16"/>
    <s v="https://www.youtube.com/embed/8RSu4ymCgp4?start=3578&amp;end=3600&amp;autoplay=1"/>
    <s v="Good"/>
    <s v="Good"/>
    <s v="Good"/>
  </r>
  <r>
    <n v="103.14"/>
    <x v="0"/>
    <m/>
    <s v="Done-Content"/>
    <m/>
    <m/>
    <x v="144"/>
    <s v="Father of modern pyschology"/>
    <m/>
    <m/>
    <x v="8"/>
    <m/>
    <d v="1899-12-30T01:02:30"/>
    <d v="1899-12-30T01:12:20"/>
    <d v="1899-12-30T00:09:50"/>
    <x v="16"/>
    <s v="https://www.youtube.com/embed/8RSu4ymCgp4?start=3750&amp;end=4340&amp;autoplay=1"/>
    <s v="Good"/>
    <s v="Good"/>
    <s v="Good"/>
  </r>
  <r>
    <n v="103.15"/>
    <x v="0"/>
    <m/>
    <s v="Done-Content"/>
    <m/>
    <m/>
    <x v="145"/>
    <m/>
    <m/>
    <m/>
    <x v="8"/>
    <m/>
    <d v="1899-12-30T01:16:18"/>
    <d v="1899-12-30T01:18:10"/>
    <d v="1899-12-30T00:01:52"/>
    <x v="16"/>
    <s v="https://www.youtube.com/embed/8RSu4ymCgp4?start=4578&amp;end=4690&amp;autoplay=1"/>
    <s v="Good"/>
    <s v="Good"/>
    <s v="Good"/>
  </r>
  <r>
    <n v="103.16"/>
    <x v="0"/>
    <m/>
    <s v="Done-Content"/>
    <m/>
    <m/>
    <x v="146"/>
    <s v="Impact of Transcendental Meditation"/>
    <m/>
    <m/>
    <x v="8"/>
    <m/>
    <d v="1899-12-30T01:18:20"/>
    <d v="1899-12-30T01:19:50"/>
    <d v="1899-12-30T00:01:30"/>
    <x v="16"/>
    <s v="https://www.youtube.com/embed/8RSu4ymCgp4?start=4700&amp;end=4790&amp;autoplay=1"/>
    <s v="Good"/>
    <s v="Good"/>
    <s v="Good"/>
  </r>
  <r>
    <n v="103.17"/>
    <x v="0"/>
    <m/>
    <s v="Done-Content"/>
    <m/>
    <m/>
    <x v="147"/>
    <m/>
    <m/>
    <m/>
    <x v="8"/>
    <m/>
    <d v="1899-12-30T01:25:36"/>
    <d v="1899-12-30T01:34:00"/>
    <d v="1899-12-30T00:08:24"/>
    <x v="16"/>
    <s v="https://www.youtube.com/embed/8RSu4ymCgp4?start=5136&amp;end=5640&amp;autoplay=1"/>
    <s v="Good"/>
    <s v="Good"/>
    <s v="Good"/>
  </r>
  <r>
    <n v="103.18"/>
    <x v="0"/>
    <m/>
    <s v="Done-Content"/>
    <m/>
    <m/>
    <x v="148"/>
    <m/>
    <m/>
    <m/>
    <x v="8"/>
    <m/>
    <d v="1899-12-30T01:41:40"/>
    <d v="1899-12-30T01:43:04"/>
    <d v="1899-12-30T00:01:24"/>
    <x v="16"/>
    <s v="https://www.youtube.com/embed/8RSu4ymCgp4?start=6100&amp;end=6184&amp;autoplay=1"/>
    <s v="Good"/>
    <s v="Good"/>
    <s v="Good"/>
  </r>
  <r>
    <n v="103.19"/>
    <x v="0"/>
    <m/>
    <s v="Done-Content"/>
    <m/>
    <m/>
    <x v="149"/>
    <m/>
    <m/>
    <m/>
    <x v="8"/>
    <m/>
    <d v="1899-12-30T01:58:25"/>
    <d v="1899-12-30T02:05:04"/>
    <d v="1899-12-30T00:06:39"/>
    <x v="4"/>
    <s v="https://www.youtube.com/embed/8RSu4ymCgp4?start=7105&amp;end=7504&amp;autoplay=1"/>
    <s v="Good"/>
    <s v="Good"/>
    <s v="Good"/>
  </r>
  <r>
    <n v="104"/>
    <x v="1"/>
    <m/>
    <m/>
    <s v="https://www.youtube.com/watch?v=MOkWSa69NKA"/>
    <s v="Tsunami: The Untold Story by Rajiv Malhotra, 2005"/>
    <x v="18"/>
    <m/>
    <m/>
    <n v="4000"/>
    <x v="102"/>
    <s v="5 years ago"/>
    <m/>
    <m/>
    <m/>
    <x v="3"/>
    <m/>
    <m/>
    <m/>
    <m/>
  </r>
  <r>
    <n v="105"/>
    <x v="1"/>
    <m/>
    <m/>
    <s v="https://www.youtube.com/watch?v=k_PhmmAyLFg"/>
    <s v="Rajiv Malhotra: Globalization &amp; World Peace, Asian Indian Chamber of Commerce, Nov 16 2008"/>
    <x v="18"/>
    <m/>
    <m/>
    <n v="3600"/>
    <x v="103"/>
    <s v="5 years ago"/>
    <m/>
    <m/>
    <m/>
    <x v="3"/>
    <m/>
    <m/>
    <m/>
    <m/>
  </r>
  <r>
    <n v="106"/>
    <x v="1"/>
    <m/>
    <m/>
    <s v="https://www.youtube.com/watch?v=tUBrwCmKx8s"/>
    <s v="Rajiv Malhotra's Where is India in the Eagle's Eye?"/>
    <x v="18"/>
    <m/>
    <m/>
    <n v="11000"/>
    <x v="104"/>
    <s v="5 years ago"/>
    <m/>
    <m/>
    <m/>
    <x v="3"/>
    <m/>
    <m/>
    <m/>
    <m/>
  </r>
  <r>
    <n v="107"/>
    <x v="0"/>
    <m/>
    <s v="Done-Content"/>
    <s v="https://www.youtube.com/watch?v=Vf5BOYF0S3Y"/>
    <s v="American Theory-Making on India: &quot;Saving Indians from India&quot; by Rajiv Malhotra 2005 at IIC Delhi"/>
    <x v="18"/>
    <m/>
    <m/>
    <n v="11000"/>
    <x v="105"/>
    <s v="5 years ago"/>
    <m/>
    <m/>
    <m/>
    <x v="4"/>
    <m/>
    <m/>
    <m/>
    <m/>
  </r>
  <r>
    <n v="107.01"/>
    <x v="0"/>
    <m/>
    <s v="Done-Content"/>
    <m/>
    <m/>
    <x v="150"/>
    <m/>
    <m/>
    <m/>
    <x v="8"/>
    <m/>
    <d v="1899-12-30T00:29:00"/>
    <d v="1899-12-30T00:33:20"/>
    <d v="1899-12-30T00:04:20"/>
    <x v="4"/>
    <s v="https://www.youtube.com/embed/Vf5BOYF0S3Y?start=1740&amp;end=2000&amp;autoplay=1"/>
    <m/>
    <m/>
    <m/>
  </r>
  <r>
    <n v="107.02"/>
    <x v="0"/>
    <m/>
    <s v="Done-Content"/>
    <m/>
    <m/>
    <x v="151"/>
    <m/>
    <m/>
    <m/>
    <x v="8"/>
    <m/>
    <d v="1899-12-30T00:30:00"/>
    <d v="1899-12-30T00:32:05"/>
    <d v="1899-12-30T00:02:05"/>
    <x v="4"/>
    <s v="https://www.youtube.com/embed/Vf5BOYF0S3Y?start=1800&amp;end=1925&amp;autoplay=1"/>
    <m/>
    <m/>
    <m/>
  </r>
  <r>
    <n v="107.03"/>
    <x v="0"/>
    <m/>
    <s v="Done-Content"/>
    <m/>
    <m/>
    <x v="152"/>
    <m/>
    <m/>
    <m/>
    <x v="8"/>
    <m/>
    <d v="1899-12-30T00:30:55"/>
    <d v="1899-12-30T00:32:05"/>
    <d v="1899-12-30T00:01:10"/>
    <x v="4"/>
    <s v="https://www.youtube.com/embed/Vf5BOYF0S3Y?start=1855&amp;end=1925&amp;autoplay=1"/>
    <m/>
    <m/>
    <m/>
  </r>
  <r>
    <n v="107.04"/>
    <x v="0"/>
    <m/>
    <s v="Done-Content"/>
    <m/>
    <m/>
    <x v="153"/>
    <m/>
    <m/>
    <m/>
    <x v="8"/>
    <m/>
    <d v="1899-12-30T00:30:10"/>
    <d v="1899-12-30T00:40:30"/>
    <d v="1899-12-30T00:10:20"/>
    <x v="4"/>
    <s v="https://www.youtube.com/embed/Vf5BOYF0S3Y?start=1810&amp;end=2430&amp;autoplay=1"/>
    <m/>
    <m/>
    <m/>
  </r>
  <r>
    <n v="107.05"/>
    <x v="0"/>
    <m/>
    <s v="Done-Content"/>
    <m/>
    <m/>
    <x v="154"/>
    <m/>
    <m/>
    <m/>
    <x v="8"/>
    <m/>
    <d v="1899-12-30T00:40:35"/>
    <d v="1899-12-30T00:42:05"/>
    <d v="1899-12-30T00:01:30"/>
    <x v="4"/>
    <s v="https://www.youtube.com/embed/Vf5BOYF0S3Y?start=2435&amp;end=2525&amp;autoplay=1"/>
    <m/>
    <m/>
    <m/>
  </r>
  <r>
    <n v="107.06"/>
    <x v="0"/>
    <m/>
    <s v="Done-Content"/>
    <m/>
    <m/>
    <x v="155"/>
    <m/>
    <m/>
    <m/>
    <x v="8"/>
    <m/>
    <d v="1899-12-30T00:42:10"/>
    <d v="1899-12-30T00:44:30"/>
    <d v="1899-12-30T00:02:20"/>
    <x v="4"/>
    <s v="https://www.youtube.com/embed/Vf5BOYF0S3Y?start=2530&amp;end=2670&amp;autoplay=1"/>
    <m/>
    <m/>
    <m/>
  </r>
  <r>
    <n v="107.07"/>
    <x v="0"/>
    <m/>
    <s v="Done-Content"/>
    <m/>
    <m/>
    <x v="156"/>
    <m/>
    <m/>
    <m/>
    <x v="8"/>
    <m/>
    <d v="1899-12-30T00:44:35"/>
    <d v="1899-12-30T00:47:50"/>
    <d v="1899-12-30T00:03:15"/>
    <x v="4"/>
    <s v="https://www.youtube.com/embed/Vf5BOYF0S3Y?start=2675&amp;end=2870&amp;autoplay=1"/>
    <m/>
    <m/>
    <m/>
  </r>
  <r>
    <n v="107.08"/>
    <x v="0"/>
    <m/>
    <s v="Done-Content"/>
    <m/>
    <m/>
    <x v="157"/>
    <m/>
    <m/>
    <m/>
    <x v="8"/>
    <m/>
    <d v="1899-12-30T00:53:30"/>
    <d v="1899-12-30T00:57:30"/>
    <d v="1899-12-30T00:04:00"/>
    <x v="4"/>
    <s v="https://www.youtube.com/embed/Vf5BOYF0S3Y?start=3210&amp;end=3450&amp;autoplay=1"/>
    <m/>
    <m/>
    <m/>
  </r>
  <r>
    <n v="107.09"/>
    <x v="0"/>
    <m/>
    <s v="Done-Content"/>
    <m/>
    <m/>
    <x v="158"/>
    <m/>
    <m/>
    <m/>
    <x v="8"/>
    <m/>
    <d v="1899-12-30T01:00:00"/>
    <d v="1899-12-30T01:03:30"/>
    <d v="1899-12-30T00:03:30"/>
    <x v="4"/>
    <s v="https://www.youtube.com/embed/Vf5BOYF0S3Y?start=3600&amp;end=3810&amp;autoplay=1"/>
    <m/>
    <m/>
    <m/>
  </r>
  <r>
    <n v="107.1"/>
    <x v="0"/>
    <m/>
    <s v="Done-Content"/>
    <m/>
    <m/>
    <x v="159"/>
    <m/>
    <m/>
    <m/>
    <x v="8"/>
    <m/>
    <d v="1899-12-30T01:05:31"/>
    <d v="1899-12-30T01:08:30"/>
    <d v="1899-12-30T00:02:59"/>
    <x v="4"/>
    <s v="https://www.youtube.com/embed/Vf5BOYF0S3Y?start=3931&amp;end=4110&amp;autoplay=1"/>
    <m/>
    <m/>
    <m/>
  </r>
  <r>
    <n v="107.11"/>
    <x v="0"/>
    <m/>
    <s v="Done-Content"/>
    <m/>
    <m/>
    <x v="160"/>
    <s v="Sansar Chanra Advisor from People First on Hidden Mystry Book Series in America has 13 books. It is about how the history is re-written by rich people?"/>
    <m/>
    <m/>
    <x v="8"/>
    <m/>
    <d v="1899-12-30T01:18:07"/>
    <d v="1899-12-30T01:19:25"/>
    <d v="1899-12-30T00:01:18"/>
    <x v="14"/>
    <s v="https://www.youtube.com/embed/Vf5BOYF0S3Y?start=4687&amp;end=4765&amp;autoplay=1"/>
    <m/>
    <m/>
    <m/>
  </r>
  <r>
    <n v="107.12"/>
    <x v="0"/>
    <m/>
    <s v="Done-Content"/>
    <m/>
    <m/>
    <x v="161"/>
    <m/>
    <m/>
    <m/>
    <x v="8"/>
    <m/>
    <d v="1899-12-30T01:26:57"/>
    <d v="1899-12-30T01:29:05"/>
    <d v="1899-12-30T00:02:08"/>
    <x v="14"/>
    <s v="https://www.youtube.com/embed/Vf5BOYF0S3Y?start=5217&amp;end=5345&amp;autoplay=1"/>
    <m/>
    <m/>
    <m/>
  </r>
  <r>
    <n v="107.13"/>
    <x v="0"/>
    <m/>
    <s v="Done-Content"/>
    <m/>
    <m/>
    <x v="162"/>
    <m/>
    <m/>
    <m/>
    <x v="8"/>
    <m/>
    <d v="1899-12-30T01:30:18"/>
    <d v="1899-12-30T01:33:20"/>
    <d v="1899-12-30T00:03:02"/>
    <x v="14"/>
    <s v="https://www.youtube.com/embed/Vf5BOYF0S3Y?start=5418&amp;end=5600&amp;autoplay=1"/>
    <m/>
    <m/>
    <m/>
  </r>
  <r>
    <n v="107.14"/>
    <x v="0"/>
    <m/>
    <s v="Done-Content"/>
    <m/>
    <m/>
    <x v="163"/>
    <m/>
    <m/>
    <m/>
    <x v="8"/>
    <m/>
    <d v="1899-12-30T01:44:10"/>
    <d v="1899-12-30T01:46:21"/>
    <d v="1899-12-30T00:02:11"/>
    <x v="14"/>
    <s v="https://www.youtube.com/embed/Vf5BOYF0S3Y?start=6250&amp;end=6381&amp;autoplay=1"/>
    <m/>
    <m/>
    <m/>
  </r>
  <r>
    <n v="108"/>
    <x v="1"/>
    <m/>
    <m/>
    <s v="https://www.youtube.com/watch?v=WMf0Mau2TzE"/>
    <s v="Where is India in the Encounter of Civilizations? by Rajiv Malhotra, 2009"/>
    <x v="18"/>
    <m/>
    <m/>
    <n v="2600"/>
    <x v="106"/>
    <s v="5 years ago"/>
    <m/>
    <m/>
    <m/>
    <x v="3"/>
    <m/>
    <m/>
    <m/>
    <m/>
  </r>
  <r>
    <n v="109"/>
    <x v="1"/>
    <m/>
    <m/>
    <s v="https://www.youtube.com/watch?v=apOba1F4MT4"/>
    <s v="Rajiv Malhotra's Lecture on Academic Colonization Delivered at Uberoi Foundation 2010"/>
    <x v="18"/>
    <m/>
    <m/>
    <n v="1400"/>
    <x v="107"/>
    <s v="5 years ago"/>
    <m/>
    <m/>
    <m/>
    <x v="3"/>
    <m/>
    <m/>
    <m/>
    <m/>
  </r>
  <r>
    <n v="110"/>
    <x v="1"/>
    <m/>
    <m/>
    <s v="https://www.youtube.com/watch?v=CtiARMXwI0Q"/>
    <s v="Rajiv Malhotra Invading the Sacred Book Launch Best of Mumbai &amp; Delhi July 1st &amp; 2nd, 2007"/>
    <x v="18"/>
    <m/>
    <m/>
    <n v="15000"/>
    <x v="108"/>
    <s v="5 years ago"/>
    <m/>
    <m/>
    <m/>
    <x v="3"/>
    <m/>
    <m/>
    <m/>
    <m/>
  </r>
  <r>
    <n v="111"/>
    <x v="1"/>
    <m/>
    <m/>
    <s v="https://www.youtube.com/watch?v=61LvuBJ6Ojs"/>
    <s v="Seminar on BEING DIFFERENT at Banaras Hindu University: Vid 1 - Introductions"/>
    <x v="18"/>
    <m/>
    <m/>
    <n v="888"/>
    <x v="109"/>
    <s v="5 years ago"/>
    <m/>
    <m/>
    <m/>
    <x v="3"/>
    <m/>
    <m/>
    <m/>
    <m/>
  </r>
  <r>
    <n v="112"/>
    <x v="1"/>
    <m/>
    <m/>
    <s v="https://www.youtube.com/watch?v=nQhpJFt2KG8"/>
    <s v="Seminar on BEING DIFFERENT at BHU: Vid 3 - Indranath Chaudhuri, Ex-Director, Sahitya Academy"/>
    <x v="18"/>
    <m/>
    <m/>
    <n v="466"/>
    <x v="110"/>
    <s v="5 years ago"/>
    <m/>
    <m/>
    <m/>
    <x v="3"/>
    <m/>
    <m/>
    <m/>
    <m/>
  </r>
  <r>
    <n v="113"/>
    <x v="1"/>
    <m/>
    <m/>
    <s v="https://www.youtube.com/watch?v=myZqody8PTw"/>
    <s v="Seminar on BEING DIFFERENT at Banaras Hindu University #2"/>
    <x v="18"/>
    <m/>
    <m/>
    <n v="1000"/>
    <x v="111"/>
    <s v="5 years ago"/>
    <m/>
    <m/>
    <m/>
    <x v="3"/>
    <m/>
    <m/>
    <m/>
    <m/>
  </r>
  <r>
    <n v="114"/>
    <x v="1"/>
    <m/>
    <m/>
    <s v="https://www.youtube.com/watch?v=iFLc0n8RSAA"/>
    <s v="Seminar on BEING DIFFERENT at Banaras Hindu University: Vid 5 - Bettina Baumer, Indologist, Varanasi"/>
    <x v="18"/>
    <m/>
    <m/>
    <n v="1400"/>
    <x v="112"/>
    <s v="5 years ago"/>
    <m/>
    <m/>
    <m/>
    <x v="3"/>
    <m/>
    <m/>
    <m/>
    <m/>
  </r>
  <r>
    <n v="115"/>
    <x v="1"/>
    <m/>
    <m/>
    <s v="https://www.youtube.com/watch?v=eKtCOiQbVX0"/>
    <s v="Seminar on BEING DIFFERENT at BHU: Vid 4 - Oscar Pujol, Director Institute Cervates, Delhi"/>
    <x v="18"/>
    <m/>
    <m/>
    <n v="602"/>
    <x v="113"/>
    <s v="5 years ago"/>
    <m/>
    <m/>
    <m/>
    <x v="3"/>
    <m/>
    <m/>
    <m/>
    <m/>
  </r>
  <r>
    <n v="116"/>
    <x v="1"/>
    <m/>
    <m/>
    <s v="https://www.youtube.com/watch?v=vnw9dW2QgYk"/>
    <s v="Seminar on BEING DIFFERENT at Banaras Hindu University: Vid 6 - Kamal Datt Tripathi, IGNCA, Varanasi"/>
    <x v="18"/>
    <m/>
    <m/>
    <n v="317"/>
    <x v="114"/>
    <s v="5 years ago"/>
    <m/>
    <m/>
    <m/>
    <x v="3"/>
    <m/>
    <m/>
    <m/>
    <m/>
  </r>
  <r>
    <n v="117"/>
    <x v="1"/>
    <m/>
    <m/>
    <s v="https://www.youtube.com/watch?v=TxC_8Xllf-M"/>
    <s v="Seminar on BEING DIFFERENT at Banaras Hindu University: 7 - Rajiv Malhotra"/>
    <x v="18"/>
    <m/>
    <m/>
    <n v="756"/>
    <x v="115"/>
    <s v="5 years ago"/>
    <m/>
    <m/>
    <m/>
    <x v="3"/>
    <m/>
    <m/>
    <m/>
    <m/>
  </r>
  <r>
    <n v="118"/>
    <x v="1"/>
    <m/>
    <m/>
    <s v="https://www.youtube.com/watch?v=nbZhVwfCRMU"/>
    <s v="Seminar on BEING DIFFERENT at Banaras Hindu University: Vid 8 - Audience Q&amp;A, Comments"/>
    <x v="18"/>
    <m/>
    <m/>
    <n v="493"/>
    <x v="116"/>
    <s v="5 years ago"/>
    <m/>
    <m/>
    <m/>
    <x v="3"/>
    <m/>
    <m/>
    <m/>
    <m/>
  </r>
  <r>
    <n v="119"/>
    <x v="1"/>
    <m/>
    <m/>
    <s v="https://www.youtube.com/watch?v=rdyZwjy8Wko"/>
    <s v="Manindra Thakur Event Jan 2012 Vid 3 - Debating Western Universalism, Digestion, &amp; U-Turns"/>
    <x v="18"/>
    <m/>
    <m/>
    <n v="1000"/>
    <x v="117"/>
    <s v="5 years ago"/>
    <m/>
    <m/>
    <m/>
    <x v="3"/>
    <m/>
    <m/>
    <m/>
    <m/>
  </r>
  <r>
    <n v="120"/>
    <x v="1"/>
    <m/>
    <m/>
    <s v="https://www.youtube.com/watch?v=v6It_CJ27bg"/>
    <s v="Manindra Thakur Event Jan 2012 Vid 4 - Book Project: Indian Approach to Social Sciences"/>
    <x v="18"/>
    <m/>
    <m/>
    <n v="619"/>
    <x v="118"/>
    <s v="5 years ago"/>
    <m/>
    <m/>
    <m/>
    <x v="3"/>
    <m/>
    <m/>
    <m/>
    <m/>
  </r>
  <r>
    <n v="121"/>
    <x v="1"/>
    <m/>
    <m/>
    <s v="https://www.youtube.com/watch?v=vSLKEwGRgbY"/>
    <s v="Manindra Thakur Event Jan 2012 Vid 2 - Participants remarks on Decolonizing the Social Sciences"/>
    <x v="18"/>
    <m/>
    <m/>
    <n v="658"/>
    <x v="119"/>
    <s v="5 years ago"/>
    <m/>
    <m/>
    <m/>
    <x v="3"/>
    <m/>
    <m/>
    <m/>
    <m/>
  </r>
  <r>
    <n v="122"/>
    <x v="1"/>
    <m/>
    <m/>
    <s v="https://www.youtube.com/watch?v=67Y76FPHZ-g"/>
    <s v="Rajiv Malhotra Lecture on Gandhi &quot;US-India Relations at the Crossroads&quot; UMASS Dartmouth Oct 8, 2009"/>
    <x v="18"/>
    <m/>
    <m/>
    <n v="1500"/>
    <x v="120"/>
    <s v="5 years ago"/>
    <m/>
    <m/>
    <m/>
    <x v="3"/>
    <m/>
    <m/>
    <m/>
    <m/>
  </r>
  <r>
    <n v="123"/>
    <x v="1"/>
    <m/>
    <m/>
    <s v="https://www.youtube.com/watch?v=qDcBHNXLxdc"/>
    <s v="Rajiv Malhotra Lecture on Gandhi &quot;Using Gandhi's Lens Today&quot; UMASS Dartmouth Oct 9, 2009"/>
    <x v="18"/>
    <m/>
    <m/>
    <n v="2100"/>
    <x v="121"/>
    <s v="5 years ago"/>
    <m/>
    <m/>
    <m/>
    <x v="3"/>
    <m/>
    <m/>
    <m/>
    <m/>
  </r>
  <r>
    <n v="124"/>
    <x v="1"/>
    <m/>
    <m/>
    <s v="https://www.youtube.com/watch?v=BF7tCmPOjs4"/>
    <s v="Manindra Thakur Event Jan 2012 Vid 1 - Introduction by Prof. Thakur (JNU) &amp; Rajiv Malhotra"/>
    <x v="18"/>
    <m/>
    <m/>
    <n v="1100"/>
    <x v="122"/>
    <s v="5 years ago"/>
    <m/>
    <m/>
    <m/>
    <x v="3"/>
    <m/>
    <m/>
    <m/>
    <m/>
  </r>
  <r>
    <n v="125"/>
    <x v="1"/>
    <m/>
    <m/>
    <s v="https://www.youtube.com/watch?v=UrWQfScMALY"/>
    <s v="Rajiv Malhotra Talk at Auroville Video 1 - Differences in Philosophy"/>
    <x v="18"/>
    <m/>
    <m/>
    <n v="2300"/>
    <x v="123"/>
    <s v="5 years ago"/>
    <m/>
    <m/>
    <m/>
    <x v="3"/>
    <m/>
    <m/>
    <m/>
    <m/>
  </r>
  <r>
    <n v="126"/>
    <x v="1"/>
    <m/>
    <m/>
    <s v="https://www.youtube.com/watch?v=6LOxjxiZ3NQ"/>
    <s v="Rajiv Malhotra at Auroville Video 2 - Q&amp;A with Audience"/>
    <x v="18"/>
    <m/>
    <m/>
    <n v="2100"/>
    <x v="124"/>
    <s v="5 years ago"/>
    <m/>
    <m/>
    <m/>
    <x v="3"/>
    <m/>
    <m/>
    <m/>
    <m/>
  </r>
  <r>
    <n v="127"/>
    <x v="1"/>
    <m/>
    <m/>
    <s v="https://www.youtube.com/watch?v=08Xwx9vsy6w"/>
    <s v="Rajiv Malhotra Keynote Address at JNU on: Science &amp; Indian Traditions"/>
    <x v="18"/>
    <m/>
    <m/>
    <n v="2400"/>
    <x v="125"/>
    <s v="5 years ago"/>
    <m/>
    <m/>
    <m/>
    <x v="3"/>
    <m/>
    <m/>
    <m/>
    <m/>
  </r>
  <r>
    <n v="128"/>
    <x v="1"/>
    <m/>
    <m/>
    <s v="https://www.youtube.com/watch?v=JErwMUETzvU"/>
    <s v="Pondy Event Vid 4 - Comments by five prominent scholars of Sri Aurobindo"/>
    <x v="18"/>
    <m/>
    <m/>
    <n v="1400"/>
    <x v="126"/>
    <s v="5 years ago"/>
    <m/>
    <m/>
    <m/>
    <x v="3"/>
    <m/>
    <m/>
    <m/>
    <m/>
  </r>
  <r>
    <n v="129"/>
    <x v="1"/>
    <m/>
    <m/>
    <s v="https://www.youtube.com/watch?v=SS0UQNsxhus"/>
    <s v="Rajiv Malhotra Debates a German U-Turner who returned to Christ from Sri Aurobindo"/>
    <x v="18"/>
    <m/>
    <m/>
    <n v="19000"/>
    <x v="127"/>
    <s v="5 years ago"/>
    <m/>
    <m/>
    <m/>
    <x v="3"/>
    <m/>
    <m/>
    <m/>
    <m/>
  </r>
  <r>
    <n v="130"/>
    <x v="1"/>
    <m/>
    <m/>
    <s v="https://www.youtube.com/watch?v=g-xyM5pVESg"/>
    <s v="Pondy Event Vid 1 - Introduction by Anand Reddy, SACAR"/>
    <x v="18"/>
    <m/>
    <m/>
    <n v="651"/>
    <x v="128"/>
    <s v="5 years ago"/>
    <m/>
    <m/>
    <m/>
    <x v="3"/>
    <m/>
    <m/>
    <m/>
    <m/>
  </r>
  <r>
    <n v="131"/>
    <x v="1"/>
    <m/>
    <m/>
    <s v="https://www.youtube.com/watch?v=vHGejHQUoio"/>
    <s v="Pondy Event Vid 7 - Q&amp;A - New Western religions that are not history centric"/>
    <x v="18"/>
    <m/>
    <m/>
    <n v="667"/>
    <x v="129"/>
    <s v="5 years ago"/>
    <m/>
    <m/>
    <m/>
    <x v="3"/>
    <m/>
    <m/>
    <m/>
    <m/>
  </r>
  <r>
    <n v="132"/>
    <x v="1"/>
    <m/>
    <m/>
    <s v="https://www.youtube.com/watch?v=3f7b_ZE5B1Y"/>
    <s v="Pondy Event Vid 8 - Q&amp;A - Relevance to Modern Youth"/>
    <x v="18"/>
    <m/>
    <m/>
    <n v="446"/>
    <x v="82"/>
    <s v="5 years ago"/>
    <m/>
    <m/>
    <m/>
    <x v="3"/>
    <m/>
    <m/>
    <m/>
    <m/>
  </r>
  <r>
    <n v="133"/>
    <x v="1"/>
    <m/>
    <m/>
    <s v="https://www.youtube.com/watch?v=kQP4pUPNjqs"/>
    <s v="Pondicherry Event Vid 2_Rajiv Malhotra's Talk Part 1 - U Turn Theory"/>
    <x v="18"/>
    <m/>
    <m/>
    <n v="1500"/>
    <x v="130"/>
    <s v="5 years ago"/>
    <m/>
    <m/>
    <m/>
    <x v="3"/>
    <m/>
    <m/>
    <m/>
    <m/>
  </r>
  <r>
    <n v="134"/>
    <x v="1"/>
    <m/>
    <m/>
    <s v="https://www.youtube.com/watch?v=hWBzG7eVqVg"/>
    <s v="Pondy Event Vid 3 - Rajiv Malhotra Talk Part 2: BEING DIFFERENT book"/>
    <x v="18"/>
    <m/>
    <m/>
    <n v="919"/>
    <x v="131"/>
    <s v="5 years ago"/>
    <m/>
    <m/>
    <m/>
    <x v="3"/>
    <m/>
    <m/>
    <m/>
    <m/>
  </r>
  <r>
    <n v="135"/>
    <x v="1"/>
    <m/>
    <m/>
    <s v="https://www.youtube.com/watch?v=7jIfpSOnmK8"/>
    <s v="Pondy Event Vid 5 - Rajiv Malhotra's Response to the Expert Comments"/>
    <x v="18"/>
    <m/>
    <m/>
    <n v="1000"/>
    <x v="132"/>
    <s v="5 years ago"/>
    <m/>
    <m/>
    <m/>
    <x v="3"/>
    <m/>
    <m/>
    <m/>
    <m/>
  </r>
  <r>
    <n v="136"/>
    <x v="1"/>
    <m/>
    <m/>
    <s v="https://www.youtube.com/watch?v=qd7yTtTb_Fc"/>
    <s v="Pondy Event Vid 9 - Director's Concluding Remarks"/>
    <x v="18"/>
    <m/>
    <m/>
    <n v="246"/>
    <x v="133"/>
    <s v="5 years ago"/>
    <m/>
    <m/>
    <m/>
    <x v="3"/>
    <m/>
    <m/>
    <m/>
    <m/>
  </r>
  <r>
    <n v="137"/>
    <x v="1"/>
    <m/>
    <m/>
    <s v="https://www.youtube.com/watch?v=2WYZtS_LLog"/>
    <s v="Indian Knowledge Systems: IIT Alumni Event, Washington DC #1"/>
    <x v="18"/>
    <m/>
    <m/>
    <n v="10000"/>
    <x v="134"/>
    <s v="5 years ago"/>
    <m/>
    <m/>
    <m/>
    <x v="3"/>
    <m/>
    <m/>
    <m/>
    <m/>
  </r>
  <r>
    <n v="138"/>
    <x v="1"/>
    <m/>
    <m/>
    <s v="https://www.youtube.com/watch?v=agP31XI_FxA"/>
    <s v="Chinmaya Mission Washington, DC Vid 1 - Introduction"/>
    <x v="18"/>
    <m/>
    <m/>
    <n v="955"/>
    <x v="135"/>
    <s v="5 years ago"/>
    <m/>
    <m/>
    <m/>
    <x v="3"/>
    <m/>
    <m/>
    <m/>
    <m/>
  </r>
  <r>
    <n v="139"/>
    <x v="1"/>
    <m/>
    <m/>
    <s v="https://www.youtube.com/watch?v=7ZD3D4mAoaE"/>
    <s v="Indian Knowledge Systems Vid 2 - Rajiv Malhotra Q &amp; A"/>
    <x v="18"/>
    <m/>
    <m/>
    <n v="5600"/>
    <x v="136"/>
    <s v="5 years ago"/>
    <m/>
    <m/>
    <m/>
    <x v="3"/>
    <m/>
    <m/>
    <m/>
    <m/>
  </r>
  <r>
    <n v="140"/>
    <x v="1"/>
    <m/>
    <m/>
    <s v="https://www.youtube.com/watch?v=ANSSQQ6ZauM"/>
    <s v="Chinmaya Mission Washington, DC Vid 2 - Difference &amp; Related Issues"/>
    <x v="18"/>
    <m/>
    <m/>
    <n v="1000"/>
    <x v="137"/>
    <s v="5 years ago"/>
    <m/>
    <m/>
    <m/>
    <x v="3"/>
    <m/>
    <m/>
    <m/>
    <m/>
  </r>
  <r>
    <n v="141"/>
    <x v="1"/>
    <m/>
    <m/>
    <s v="https://www.youtube.com/watch?v=OBViSvvLu-s"/>
    <s v="Chinmaya Mission Washington, DC Vid 3 - Digestion: What, Why, How"/>
    <x v="18"/>
    <m/>
    <m/>
    <n v="758"/>
    <x v="138"/>
    <s v="5 years ago"/>
    <m/>
    <m/>
    <m/>
    <x v="3"/>
    <m/>
    <m/>
    <m/>
    <m/>
  </r>
  <r>
    <n v="142"/>
    <x v="1"/>
    <m/>
    <m/>
    <s v="https://www.youtube.com/watch?v=k54XQ5I1Nzo"/>
    <s v="Chinmaya Mission Washington, DC Vid 4 - History Centrism &amp; Identity Issues"/>
    <x v="18"/>
    <m/>
    <m/>
    <n v="483"/>
    <x v="139"/>
    <s v="5 years ago"/>
    <m/>
    <m/>
    <m/>
    <x v="3"/>
    <m/>
    <m/>
    <m/>
    <m/>
  </r>
  <r>
    <n v="143"/>
    <x v="1"/>
    <m/>
    <m/>
    <s v="https://www.youtube.com/watch?v=vdwHHPZwNEo"/>
    <s v="Chinmaya Mission Washington, DC Vid 5 - Integral Unity, Chaos, Self-Organization"/>
    <x v="18"/>
    <m/>
    <m/>
    <n v="435"/>
    <x v="140"/>
    <s v="5 years ago"/>
    <m/>
    <m/>
    <m/>
    <x v="3"/>
    <m/>
    <m/>
    <m/>
    <m/>
  </r>
  <r>
    <n v="144"/>
    <x v="1"/>
    <m/>
    <m/>
    <s v="https://www.youtube.com/watch?v=q1K9wPDzMjU"/>
    <s v="Chinmaya Mission Washington, DC Vid 6 - Indian Contributions Define our Difference"/>
    <x v="18"/>
    <m/>
    <m/>
    <n v="409"/>
    <x v="141"/>
    <s v="5 years ago"/>
    <m/>
    <m/>
    <m/>
    <x v="3"/>
    <m/>
    <m/>
    <m/>
    <m/>
  </r>
  <r>
    <n v="145"/>
    <x v="1"/>
    <m/>
    <m/>
    <s v="https://www.youtube.com/watch?v=75OFJ9IX4tI"/>
    <s v="Chinmaya Mission Washington, DC Vid 7 - Other Q &amp; A"/>
    <x v="18"/>
    <m/>
    <m/>
    <n v="925"/>
    <x v="142"/>
    <s v="5 years ago"/>
    <m/>
    <m/>
    <m/>
    <x v="3"/>
    <m/>
    <m/>
    <m/>
    <m/>
  </r>
  <r>
    <n v="146"/>
    <x v="1"/>
    <m/>
    <m/>
    <s v="https://www.youtube.com/watch?v=p6HgGSKj2m8"/>
    <s v="Chinmaya Mission Washington, DC Vid 8 -Book Signing"/>
    <x v="18"/>
    <m/>
    <m/>
    <n v="427"/>
    <x v="143"/>
    <s v="5 years ago"/>
    <m/>
    <m/>
    <m/>
    <x v="3"/>
    <m/>
    <m/>
    <m/>
    <m/>
  </r>
  <r>
    <n v="147"/>
    <x v="1"/>
    <m/>
    <m/>
    <s v="https://www.youtube.com/watch?v=cKIAV15AZcI"/>
    <s v="University of Toronto - Q&amp;A with Rajiv Malhotra"/>
    <x v="18"/>
    <m/>
    <m/>
    <n v="3500"/>
    <x v="144"/>
    <s v="5 years ago"/>
    <m/>
    <m/>
    <m/>
    <x v="3"/>
    <m/>
    <m/>
    <m/>
    <m/>
  </r>
  <r>
    <n v="148"/>
    <x v="1"/>
    <m/>
    <m/>
    <s v="https://www.youtube.com/watch?v=sdhISUDYvX4"/>
    <s v="Toronto Civic Center, March 17, 2012 - Q&amp;A"/>
    <x v="18"/>
    <m/>
    <m/>
    <n v="1100"/>
    <x v="145"/>
    <s v="5 years ago"/>
    <m/>
    <m/>
    <m/>
    <x v="3"/>
    <m/>
    <m/>
    <m/>
    <m/>
  </r>
  <r>
    <n v="149"/>
    <x v="1"/>
    <m/>
    <m/>
    <s v="https://www.youtube.com/watch?v=T0iutxik1Eg"/>
    <s v="Vedic Culture Center, March 18, 2012"/>
    <x v="18"/>
    <m/>
    <m/>
    <n v="1200"/>
    <x v="146"/>
    <s v="5 years ago"/>
    <m/>
    <m/>
    <m/>
    <x v="3"/>
    <m/>
    <m/>
    <m/>
    <m/>
  </r>
  <r>
    <n v="150"/>
    <x v="1"/>
    <m/>
    <m/>
    <s v="https://www.youtube.com/watch?v=PjvzuUMMZs4"/>
    <s v="U of Toronto - Talks"/>
    <x v="18"/>
    <m/>
    <m/>
    <n v="1300"/>
    <x v="147"/>
    <s v="5 years ago"/>
    <m/>
    <m/>
    <m/>
    <x v="3"/>
    <m/>
    <m/>
    <m/>
    <m/>
  </r>
  <r>
    <n v="151"/>
    <x v="1"/>
    <m/>
    <m/>
    <s v="https://www.youtube.com/watch?v=HdBCunbR_jE"/>
    <s v="Toronto Civic Center, March 17, 2012 - Lecture"/>
    <x v="18"/>
    <m/>
    <m/>
    <n v="1000"/>
    <x v="148"/>
    <s v="5 years ago"/>
    <m/>
    <m/>
    <m/>
    <x v="3"/>
    <m/>
    <m/>
    <m/>
    <m/>
  </r>
  <r>
    <n v="152"/>
    <x v="1"/>
    <m/>
    <m/>
    <s v="https://www.youtube.com/watch?v=vKGL9b0x_K8"/>
    <s v="U Ontario - Lecture March 19, 2012"/>
    <x v="18"/>
    <m/>
    <m/>
    <n v="503"/>
    <x v="149"/>
    <s v="5 years ago"/>
    <m/>
    <m/>
    <m/>
    <x v="3"/>
    <m/>
    <m/>
    <m/>
    <m/>
  </r>
  <r>
    <n v="153"/>
    <x v="1"/>
    <m/>
    <m/>
    <s v="https://www.youtube.com/watch?v=5K-nmVDwXW0"/>
    <s v="U Ontario - Q and A, March 19, 2012"/>
    <x v="18"/>
    <m/>
    <m/>
    <n v="545"/>
    <x v="150"/>
    <s v="5 years ago"/>
    <m/>
    <m/>
    <m/>
    <x v="3"/>
    <m/>
    <m/>
    <m/>
    <m/>
  </r>
  <r>
    <n v="154"/>
    <x v="1"/>
    <m/>
    <m/>
    <s v="https://www.youtube.com/watch?v=R7mzbp-9vbk"/>
    <s v="Hindi Mahaotsav May 12, 2012"/>
    <x v="18"/>
    <m/>
    <m/>
    <n v="1000"/>
    <x v="151"/>
    <s v="5 years ago"/>
    <m/>
    <m/>
    <m/>
    <x v="3"/>
    <m/>
    <m/>
    <m/>
    <m/>
  </r>
  <r>
    <n v="155"/>
    <x v="1"/>
    <m/>
    <m/>
    <s v="https://www.youtube.com/watch?v=ucgD3lqwZX0"/>
    <s v="Rajiv Malhotra on the Need of Academic Study of Hinduism at WAVES 2008 - Vid 1"/>
    <x v="18"/>
    <m/>
    <m/>
    <n v="453"/>
    <x v="152"/>
    <s v="5 years ago"/>
    <m/>
    <m/>
    <m/>
    <x v="3"/>
    <m/>
    <m/>
    <m/>
    <m/>
  </r>
  <r>
    <n v="156"/>
    <x v="1"/>
    <m/>
    <m/>
    <s v="https://www.youtube.com/watch?v=5bAuJCTjg8s"/>
    <s v="Rajiv Malhotra on Challenges facing Hinduism in USA at WAVES 2008 - Vid 2"/>
    <x v="18"/>
    <m/>
    <m/>
    <n v="446"/>
    <x v="153"/>
    <s v="5 years ago"/>
    <m/>
    <m/>
    <m/>
    <x v="3"/>
    <m/>
    <m/>
    <m/>
    <m/>
  </r>
  <r>
    <n v="157"/>
    <x v="1"/>
    <m/>
    <m/>
    <s v="https://www.youtube.com/watch?v=d9KgrM48iGg"/>
    <s v="Rajiv Malhotra on Challenges for Hindus in Academics at Waves 2008 - Vid 3"/>
    <x v="18"/>
    <m/>
    <m/>
    <n v="576"/>
    <x v="154"/>
    <s v="5 years ago"/>
    <m/>
    <m/>
    <m/>
    <x v="3"/>
    <m/>
    <m/>
    <m/>
    <m/>
  </r>
  <r>
    <n v="158"/>
    <x v="1"/>
    <m/>
    <m/>
    <s v="https://www.youtube.com/watch?v=4h6drLmYTr8"/>
    <s v="Rajiv Malhotra on European race theory and conversion of Jatis into Castes at Waves 2008 - Vid 4"/>
    <x v="18"/>
    <m/>
    <m/>
    <n v="435"/>
    <x v="155"/>
    <s v="5 years ago"/>
    <m/>
    <m/>
    <m/>
    <x v="3"/>
    <m/>
    <m/>
    <m/>
    <m/>
  </r>
  <r>
    <n v="159"/>
    <x v="1"/>
    <m/>
    <m/>
    <s v="https://www.youtube.com/watch?v=2uOiM67vK6A"/>
    <s v="Rajiv Malhotra on Creation of Dravidian Identity among Indians at Waves 2008 - Vid 5"/>
    <x v="18"/>
    <m/>
    <m/>
    <n v="1100"/>
    <x v="156"/>
    <s v="5 years ago"/>
    <m/>
    <m/>
    <m/>
    <x v="3"/>
    <m/>
    <m/>
    <m/>
    <m/>
  </r>
  <r>
    <n v="160"/>
    <x v="1"/>
    <m/>
    <m/>
    <s v="https://www.youtube.com/watch?v=Y1SUVA0PU1o"/>
    <s v="Rajiv Malhotra on Mapping of India onto European framework at Waves 2008 - Vid 6"/>
    <x v="18"/>
    <m/>
    <m/>
    <n v="202"/>
    <x v="157"/>
    <s v="5 years ago"/>
    <m/>
    <m/>
    <m/>
    <x v="3"/>
    <m/>
    <m/>
    <m/>
    <m/>
  </r>
  <r>
    <n v="161"/>
    <x v="1"/>
    <m/>
    <m/>
    <s v="https://www.youtube.com/watch?v=yaOVnZ7W-Qc"/>
    <s v="Rajiv Malhotra on Colonial Institutional infrastructure in India at Waves 2008 - Vid 7"/>
    <x v="18"/>
    <m/>
    <m/>
    <n v="234"/>
    <x v="158"/>
    <s v="5 years ago"/>
    <m/>
    <m/>
    <m/>
    <x v="3"/>
    <m/>
    <m/>
    <m/>
    <m/>
  </r>
  <r>
    <n v="162"/>
    <x v="1"/>
    <m/>
    <m/>
    <s v="https://www.youtube.com/watch?v=hgdVPIrlSPU"/>
    <s v="Rajiv Malhotra on British justification for colonizing India at Waves 2008 - Vid 8"/>
    <x v="18"/>
    <m/>
    <m/>
    <n v="497"/>
    <x v="159"/>
    <s v="5 years ago"/>
    <m/>
    <m/>
    <m/>
    <x v="3"/>
    <m/>
    <m/>
    <m/>
    <m/>
  </r>
  <r>
    <n v="163"/>
    <x v="1"/>
    <m/>
    <m/>
    <s v="https://www.youtube.com/watch?v=8iuVX1AkV_0"/>
    <s v="Rajiv Malhotra on 'Good Cop Bad Cop' method and expansion of West in India at Waves 2008 - Vid 9"/>
    <x v="18"/>
    <m/>
    <m/>
    <n v="315"/>
    <x v="160"/>
    <s v="5 years ago"/>
    <m/>
    <m/>
    <m/>
    <x v="3"/>
    <m/>
    <m/>
    <m/>
    <m/>
  </r>
  <r>
    <n v="164"/>
    <x v="1"/>
    <m/>
    <m/>
    <s v="https://www.youtube.com/watch?v=wH8I0vSB-Os"/>
    <s v="Rajiv Malhotra on Origin of Liberalism in India at Waves 2008 - Vid 10"/>
    <x v="18"/>
    <m/>
    <m/>
    <n v="535"/>
    <x v="161"/>
    <s v="5 years ago"/>
    <m/>
    <m/>
    <m/>
    <x v="3"/>
    <m/>
    <m/>
    <m/>
    <m/>
  </r>
  <r>
    <n v="165"/>
    <x v="1"/>
    <m/>
    <m/>
    <s v="https://www.youtube.com/watch?v=Um1LJAfSPoo"/>
    <s v="Why Tibet is Important to People Everywhere: Rajiv Malhotra"/>
    <x v="18"/>
    <m/>
    <m/>
    <n v="2700"/>
    <x v="162"/>
    <s v="5 years ago"/>
    <m/>
    <m/>
    <m/>
    <x v="3"/>
    <m/>
    <m/>
    <m/>
    <m/>
  </r>
  <r>
    <n v="166"/>
    <x v="1"/>
    <m/>
    <m/>
    <s v="https://www.youtube.com/watch?v=itgdRwuvtN0"/>
    <s v="Chicago June 2nd 2012"/>
    <x v="18"/>
    <m/>
    <m/>
    <n v="4700"/>
    <x v="163"/>
    <s v="5 years ago"/>
    <m/>
    <m/>
    <m/>
    <x v="3"/>
    <m/>
    <m/>
    <m/>
    <m/>
  </r>
  <r>
    <n v="167"/>
    <x v="1"/>
    <m/>
    <m/>
    <s v="https://www.youtube.com/watch?v=Z7B5IZZhoAI"/>
    <s v="Q&amp;A at two Chicago temples, June 3, 2012"/>
    <x v="18"/>
    <m/>
    <m/>
    <n v="7500"/>
    <x v="164"/>
    <s v="5 years ago"/>
    <m/>
    <m/>
    <m/>
    <x v="3"/>
    <m/>
    <m/>
    <m/>
    <m/>
  </r>
  <r>
    <n v="168"/>
    <x v="1"/>
    <m/>
    <m/>
    <s v="https://www.youtube.com/watch?v=UuJzHq-Ont4"/>
    <s v="Lecture on BEING DIFFERENT, June 3, 2012"/>
    <x v="18"/>
    <m/>
    <m/>
    <n v="1800"/>
    <x v="165"/>
    <s v="5 years ago"/>
    <m/>
    <m/>
    <m/>
    <x v="3"/>
    <m/>
    <m/>
    <m/>
    <m/>
  </r>
  <r>
    <n v="169"/>
    <x v="1"/>
    <m/>
    <m/>
    <s v="https://www.youtube.com/watch?v=fQxUVyFqzpA"/>
    <s v="Introduction by head of Chinmaya Mission, Toronto May 2012"/>
    <x v="18"/>
    <m/>
    <m/>
    <n v="343"/>
    <x v="166"/>
    <s v="5 years ago"/>
    <m/>
    <m/>
    <m/>
    <x v="3"/>
    <m/>
    <m/>
    <m/>
    <m/>
  </r>
  <r>
    <n v="170"/>
    <x v="1"/>
    <m/>
    <m/>
    <s v="https://www.youtube.com/watch?v=wgud4Fi47XA"/>
    <s v="Q&amp;A at Chinmaya Mission, Toronto, May 2012"/>
    <x v="18"/>
    <m/>
    <m/>
    <n v="1500"/>
    <x v="167"/>
    <s v="5 years ago"/>
    <m/>
    <m/>
    <m/>
    <x v="3"/>
    <m/>
    <m/>
    <m/>
    <m/>
  </r>
  <r>
    <n v="171"/>
    <x v="1"/>
    <m/>
    <m/>
    <s v="https://www.youtube.com/watch?v=2Ew9deAuPwU"/>
    <s v="Talk at Chinmaya Mission, Toronto, May 2012"/>
    <x v="18"/>
    <m/>
    <m/>
    <n v="463"/>
    <x v="168"/>
    <s v="5 years ago"/>
    <m/>
    <m/>
    <m/>
    <x v="3"/>
    <m/>
    <m/>
    <m/>
    <m/>
  </r>
  <r>
    <n v="172"/>
    <x v="1"/>
    <m/>
    <m/>
    <s v="https://www.youtube.com/watch?v=Au_HvuB2IQc"/>
    <s v="Christianity Explained by Rajiv Malhotra"/>
    <x v="18"/>
    <m/>
    <m/>
    <n v="5200"/>
    <x v="169"/>
    <s v="5 years ago"/>
    <m/>
    <m/>
    <m/>
    <x v="3"/>
    <m/>
    <m/>
    <m/>
    <m/>
  </r>
  <r>
    <n v="173"/>
    <x v="1"/>
    <m/>
    <m/>
    <s v="https://www.youtube.com/watch?v=t_J24YUQNK4"/>
    <s v="Talk at Lakshmi Narayan Mandir, Toronto, May 25, 2012"/>
    <x v="18"/>
    <m/>
    <m/>
    <n v="624"/>
    <x v="170"/>
    <s v="5 years ago"/>
    <m/>
    <m/>
    <m/>
    <x v="3"/>
    <m/>
    <m/>
    <m/>
    <m/>
  </r>
  <r>
    <n v="174"/>
    <x v="1"/>
    <m/>
    <m/>
    <s v="https://www.youtube.com/watch?v=MfzPrOKKZVo"/>
    <s v="Keynote address at 14th annual Indian heritage day, toronto, May 26, 2012"/>
    <x v="18"/>
    <m/>
    <m/>
    <n v="1400"/>
    <x v="171"/>
    <s v="5 years ago"/>
    <m/>
    <m/>
    <m/>
    <x v="3"/>
    <m/>
    <m/>
    <m/>
    <m/>
  </r>
  <r>
    <n v="175"/>
    <x v="1"/>
    <m/>
    <m/>
    <s v="https://www.youtube.com/watch?v=57-MHC42i7g"/>
    <s v="Toronto Public Discussions on Dharma Civilization, May 26 - 29, 2012"/>
    <x v="18"/>
    <m/>
    <m/>
    <n v="3100"/>
    <x v="172"/>
    <s v="5 years ago"/>
    <m/>
    <m/>
    <m/>
    <x v="3"/>
    <m/>
    <m/>
    <m/>
    <m/>
  </r>
  <r>
    <n v="176"/>
    <x v="1"/>
    <m/>
    <m/>
    <s v="https://www.youtube.com/watch?v=pO9qCeA640E"/>
    <s v="Lecture-Duscussion at Vidya Bharati Foundation of Canada, May 27, 2012"/>
    <x v="18"/>
    <m/>
    <m/>
    <n v="2000"/>
    <x v="173"/>
    <s v="5 years ago"/>
    <m/>
    <m/>
    <m/>
    <x v="3"/>
    <m/>
    <m/>
    <m/>
    <m/>
  </r>
  <r>
    <n v="177"/>
    <x v="1"/>
    <m/>
    <m/>
    <s v="https://www.youtube.com/watch?v=17Jnr2hr0ro"/>
    <s v="Swami Dayanand Saraswati introduces Rajiv Malhotra at The Hindu Dharma Acharya Sabha, 07 Nov 2012"/>
    <x v="18"/>
    <m/>
    <m/>
    <n v="7300"/>
    <x v="174"/>
    <s v="4 years ago"/>
    <m/>
    <m/>
    <m/>
    <x v="3"/>
    <m/>
    <m/>
    <m/>
    <m/>
  </r>
  <r>
    <n v="179"/>
    <x v="1"/>
    <m/>
    <m/>
    <s v="https://www.youtube.com/watch?v=MBzty84VgRo"/>
    <s v="Interview on Sudarshan TV, April 2013"/>
    <x v="18"/>
    <m/>
    <m/>
    <n v="1200"/>
    <x v="175"/>
    <s v="4 years ago"/>
    <m/>
    <m/>
    <m/>
    <x v="3"/>
    <m/>
    <m/>
    <m/>
    <m/>
  </r>
  <r>
    <n v="178"/>
    <x v="0"/>
    <m/>
    <s v="Done-Content"/>
    <s v="https://www.youtube.com/watch?v=cpZPvFvzNlc"/>
    <s v="Rajiv Malhotra: Debating Identity with NRI Youths"/>
    <x v="18"/>
    <m/>
    <m/>
    <n v="2500"/>
    <x v="176"/>
    <s v="4 years ago"/>
    <m/>
    <m/>
    <m/>
    <x v="11"/>
    <m/>
    <m/>
    <m/>
    <m/>
  </r>
  <r>
    <n v="178.01"/>
    <x v="0"/>
    <m/>
    <s v="Done-Content"/>
    <m/>
    <m/>
    <x v="164"/>
    <m/>
    <m/>
    <m/>
    <x v="8"/>
    <m/>
    <m/>
    <m/>
    <m/>
    <x v="11"/>
    <s v="https://www.youtube.com/embed/cpZPvFvzNlc?start=0&amp;end=0&amp;autoplay=1"/>
    <m/>
    <m/>
    <m/>
  </r>
  <r>
    <n v="178.02"/>
    <x v="0"/>
    <m/>
    <s v="Done-Content"/>
    <m/>
    <m/>
    <x v="165"/>
    <s v="American Identify shifted from English to Christian to White _x000a_- Italian chatholic -&gt; protestant -&gt; christian (journey of catholic assimilation in white) _x000a_- Book: How Irish become white. How Jews became white. _x000a_- America's journey of assimilation. Black were never assimilative. _x000a_- Identity war with gays, muslim, chienese, italian, spanish. Choice in America in not identify less society. _x000a_- Whether I define or I reject my identity, I will be given identity. If I reject they will define my identity. So It is important for me to define my positive identity. _x000a_- Spanish people created their identity based on spanish language _x000a_- Historical societies of America is very important topic to be searched for understanding identity business."/>
    <m/>
    <m/>
    <x v="8"/>
    <m/>
    <d v="1899-12-30T00:10:18"/>
    <d v="1899-12-30T00:17:13"/>
    <m/>
    <x v="11"/>
    <s v="https://www.youtube.com/embed/cpZPvFvzNlc?start=618&amp;end=1033&amp;autoplay=1"/>
    <s v="Good"/>
    <s v="Good"/>
    <s v="Good"/>
  </r>
  <r>
    <n v="178.03"/>
    <x v="0"/>
    <m/>
    <s v="Done-Content"/>
    <m/>
    <m/>
    <x v="166"/>
    <s v="US is called melting point. In Canada they want everyone to remain distinctive. In American it is either fight or melt is down."/>
    <m/>
    <m/>
    <x v="8"/>
    <m/>
    <d v="1899-12-30T00:17:22"/>
    <d v="1899-12-30T00:18:10"/>
    <m/>
    <x v="11"/>
    <s v="https://www.youtube.com/embed/cpZPvFvzNlc?start=1042&amp;end=1090&amp;autoplay=1"/>
    <s v="Good"/>
    <s v="Good"/>
    <s v="Good"/>
  </r>
  <r>
    <n v="178.04"/>
    <x v="0"/>
    <m/>
    <s v="Done-Content"/>
    <m/>
    <m/>
    <x v="167"/>
    <m/>
    <m/>
    <m/>
    <x v="8"/>
    <m/>
    <d v="1899-12-30T00:24:12"/>
    <d v="1899-12-30T00:25:46"/>
    <m/>
    <x v="11"/>
    <s v="https://www.youtube.com/embed/cpZPvFvzNlc?start=1452&amp;end=1546&amp;autoplay=1"/>
    <s v="Good"/>
    <s v="Good"/>
    <s v="Good"/>
  </r>
  <r>
    <n v="178.05"/>
    <x v="0"/>
    <m/>
    <s v="Done-Content"/>
    <m/>
    <m/>
    <x v="168"/>
    <m/>
    <m/>
    <m/>
    <x v="8"/>
    <m/>
    <d v="1899-12-30T00:27:43"/>
    <d v="1899-12-30T00:32:36"/>
    <m/>
    <x v="11"/>
    <s v="https://www.youtube.com/embed/cpZPvFvzNlc?start=1663&amp;end=1956&amp;autoplay=1"/>
    <s v="Good"/>
    <s v="Good"/>
    <s v="Good"/>
  </r>
  <r>
    <n v="178.06"/>
    <x v="0"/>
    <m/>
    <s v="Done-Content"/>
    <m/>
    <m/>
    <x v="169"/>
    <m/>
    <m/>
    <m/>
    <x v="8"/>
    <m/>
    <d v="1899-12-30T00:32:56"/>
    <d v="1899-12-30T00:34:21"/>
    <m/>
    <x v="11"/>
    <s v="https://www.youtube.com/embed/cpZPvFvzNlc?start=1976&amp;end=2061&amp;autoplay=1"/>
    <s v="Good"/>
    <s v="Good"/>
    <s v="Good"/>
  </r>
  <r>
    <n v="178.07"/>
    <x v="0"/>
    <m/>
    <s v="Done-Content"/>
    <m/>
    <m/>
    <x v="170"/>
    <m/>
    <m/>
    <m/>
    <x v="8"/>
    <m/>
    <d v="1899-12-30T00:34:40"/>
    <d v="1899-12-30T00:37:02"/>
    <m/>
    <x v="11"/>
    <s v="https://www.youtube.com/embed/cpZPvFvzNlc?start=2080&amp;end=2222&amp;autoplay=1"/>
    <s v="Good"/>
    <s v="Good"/>
    <s v="Good"/>
  </r>
  <r>
    <n v="178.08"/>
    <x v="0"/>
    <m/>
    <s v="Done-Content"/>
    <m/>
    <m/>
    <x v="171"/>
    <m/>
    <m/>
    <m/>
    <x v="8"/>
    <m/>
    <d v="1899-12-30T01:00:02"/>
    <d v="1899-12-30T01:01:40"/>
    <m/>
    <x v="11"/>
    <s v="https://www.youtube.com/embed/cpZPvFvzNlc?start=3602&amp;end=3700&amp;autoplay=1"/>
    <s v="Good"/>
    <s v="Good"/>
    <s v="Good"/>
  </r>
  <r>
    <n v="178.09"/>
    <x v="0"/>
    <m/>
    <s v="Done-Content"/>
    <m/>
    <m/>
    <x v="172"/>
    <m/>
    <m/>
    <m/>
    <x v="8"/>
    <m/>
    <d v="1899-12-30T01:01:42"/>
    <d v="1899-12-30T01:04:36"/>
    <m/>
    <x v="11"/>
    <s v="https://www.youtube.com/embed/cpZPvFvzNlc?start=3702&amp;end=3876&amp;autoplay=1"/>
    <s v="Good"/>
    <s v="Good"/>
    <s v="Good"/>
  </r>
  <r>
    <n v="180"/>
    <x v="1"/>
    <m/>
    <m/>
    <s v="https://www.youtube.com/watch?v=nCmJgIvSqfU"/>
    <s v="Brand India &amp; Narayan Murthy: Rajiv Malhotra #1"/>
    <x v="18"/>
    <m/>
    <m/>
    <n v="8400"/>
    <x v="27"/>
    <s v="4 years ago"/>
    <m/>
    <m/>
    <m/>
    <x v="3"/>
    <m/>
    <m/>
    <m/>
    <m/>
  </r>
  <r>
    <n v="181"/>
    <x v="1"/>
    <m/>
    <m/>
    <s v="https://www.youtube.com/watch?v=qsCWK-TQVsk"/>
    <s v="Are Indians Buying Back Their Knowledge From the West #5"/>
    <x v="18"/>
    <m/>
    <m/>
    <n v="12000"/>
    <x v="177"/>
    <s v="4 years ago"/>
    <m/>
    <m/>
    <m/>
    <x v="3"/>
    <m/>
    <m/>
    <m/>
    <m/>
  </r>
  <r>
    <n v="182"/>
    <x v="1"/>
    <m/>
    <m/>
    <s v="https://www.youtube.com/watch?v=r5r1yU9O2ag"/>
    <s v="Is Written Evidence Needed to Authenticate a Source #2"/>
    <x v="18"/>
    <m/>
    <m/>
    <n v="7600"/>
    <x v="178"/>
    <s v="4 years ago"/>
    <m/>
    <m/>
    <m/>
    <x v="3"/>
    <m/>
    <m/>
    <m/>
    <m/>
  </r>
  <r>
    <n v="183"/>
    <x v="1"/>
    <m/>
    <m/>
    <s v="https://www.youtube.com/watch?v=MFVzVjuj90E"/>
    <s v="Argument with a Social Scientist at IIT Bombay: Rajiv Malhotra #3"/>
    <x v="18"/>
    <m/>
    <m/>
    <n v="55000"/>
    <x v="179"/>
    <s v="4 years ago"/>
    <m/>
    <m/>
    <m/>
    <x v="3"/>
    <m/>
    <m/>
    <m/>
    <m/>
  </r>
  <r>
    <n v="184"/>
    <x v="1"/>
    <m/>
    <m/>
    <s v="https://www.youtube.com/watch?v=Wu9WbgwxgjI"/>
    <s v="How &amp; Why Rajiv Malhotra Got Involved In These Activities #4"/>
    <x v="18"/>
    <m/>
    <m/>
    <n v="6800"/>
    <x v="180"/>
    <s v="4 years ago"/>
    <m/>
    <m/>
    <m/>
    <x v="3"/>
    <m/>
    <m/>
    <m/>
    <m/>
  </r>
  <r>
    <n v="185"/>
    <x v="1"/>
    <m/>
    <m/>
    <s v="https://www.youtube.com/watch?v=zqnotAbf-Cc"/>
    <s v="Chaos, Decentralization, Self Organization - Pros &amp; Cons #10"/>
    <x v="18"/>
    <m/>
    <m/>
    <n v="4000"/>
    <x v="181"/>
    <s v="4 years ago"/>
    <m/>
    <m/>
    <m/>
    <x v="3"/>
    <m/>
    <m/>
    <m/>
    <m/>
  </r>
  <r>
    <n v="186"/>
    <x v="1"/>
    <m/>
    <m/>
    <s v="https://www.youtube.com/watch?v=oeFU8Lk35BI"/>
    <s v="U-Turns Caused By Our Neglect #6"/>
    <x v="18"/>
    <m/>
    <m/>
    <n v="3900"/>
    <x v="182"/>
    <s v="4 years ago"/>
    <m/>
    <m/>
    <m/>
    <x v="3"/>
    <m/>
    <m/>
    <m/>
    <m/>
  </r>
  <r>
    <n v="187"/>
    <x v="1"/>
    <m/>
    <m/>
    <s v="https://www.youtube.com/watch?v=NfO_yqDrGWs"/>
    <s v="Loss of Purva-paksha Tradition and Consequences #7"/>
    <x v="18"/>
    <m/>
    <m/>
    <n v="3800"/>
    <x v="183"/>
    <s v="4 years ago"/>
    <m/>
    <m/>
    <m/>
    <x v="3"/>
    <m/>
    <m/>
    <m/>
    <m/>
  </r>
  <r>
    <n v="188"/>
    <x v="1"/>
    <m/>
    <m/>
    <s v="https://www.youtube.com/watch?v=uNPifASaoFM"/>
    <s v="Social Sciences In Indian Colleges is Modelled On Western Social Constructs #9"/>
    <x v="18"/>
    <m/>
    <m/>
    <n v="3200"/>
    <x v="184"/>
    <s v="4 years ago"/>
    <m/>
    <m/>
    <m/>
    <x v="3"/>
    <m/>
    <m/>
    <m/>
    <m/>
  </r>
  <r>
    <n v="189"/>
    <x v="1"/>
    <m/>
    <m/>
    <s v="https://www.youtube.com/watch?v=0-LZkVdXTnc"/>
    <s v="Decolonization, Purvapaksha, Secularism, Indian Identity #8"/>
    <x v="18"/>
    <m/>
    <m/>
    <n v="4600"/>
    <x v="185"/>
    <s v="4 years ago"/>
    <m/>
    <m/>
    <m/>
    <x v="3"/>
    <m/>
    <m/>
    <m/>
    <m/>
  </r>
  <r>
    <n v="190"/>
    <x v="1"/>
    <m/>
    <m/>
    <s v="https://www.youtube.com/watch?v=yIUwgFjMrg8"/>
    <s v="Relevance of Indian Knowledge Systems: Rajiv Malhotra"/>
    <x v="18"/>
    <m/>
    <m/>
    <n v="3700"/>
    <x v="186"/>
    <s v="4 years ago"/>
    <m/>
    <m/>
    <m/>
    <x v="3"/>
    <m/>
    <m/>
    <m/>
    <m/>
  </r>
  <r>
    <n v="191"/>
    <x v="1"/>
    <m/>
    <m/>
    <s v="https://www.youtube.com/watch?v=pAHRrR6eeDU"/>
    <s v="History of Indian Science Technology, SIES Mgt School, Mumbai: Rajiv Malhotra"/>
    <x v="18"/>
    <m/>
    <m/>
    <n v="9400"/>
    <x v="187"/>
    <s v="4 years ago"/>
    <m/>
    <m/>
    <m/>
    <x v="3"/>
    <m/>
    <m/>
    <m/>
    <m/>
  </r>
  <r>
    <n v="192"/>
    <x v="1"/>
    <m/>
    <m/>
    <s v="https://www.youtube.com/watch?v=EWnc9FdyP7s"/>
    <s v="Commerce College 2013 1. Introduction"/>
    <x v="18"/>
    <m/>
    <m/>
    <n v="938"/>
    <x v="188"/>
    <s v="4 years ago"/>
    <m/>
    <m/>
    <m/>
    <x v="3"/>
    <m/>
    <m/>
    <m/>
    <m/>
  </r>
  <r>
    <n v="193"/>
    <x v="1"/>
    <m/>
    <m/>
    <s v="https://www.youtube.com/watch?v=LI3VwCn-0WI"/>
    <s v="Commerce College . 13 3.Discussion: We Understand the Americans better than we Understand Ourselves"/>
    <x v="18"/>
    <m/>
    <m/>
    <n v="1800"/>
    <x v="189"/>
    <s v="4 years ago"/>
    <m/>
    <m/>
    <m/>
    <x v="3"/>
    <m/>
    <m/>
    <m/>
    <m/>
  </r>
  <r>
    <n v="194"/>
    <x v="1"/>
    <m/>
    <m/>
    <s v="https://www.youtube.com/watch?v=yVdcSMOWtxM"/>
    <s v="Commerce College 2013 2. - Lecture: My journey; the Indian crisis; Sensex economy and modern shudras"/>
    <x v="18"/>
    <m/>
    <m/>
    <n v="4400"/>
    <x v="190"/>
    <s v="4 years ago"/>
    <m/>
    <m/>
    <m/>
    <x v="3"/>
    <m/>
    <m/>
    <m/>
    <m/>
  </r>
  <r>
    <n v="195"/>
    <x v="1"/>
    <m/>
    <m/>
    <s v="https://www.youtube.com/watch?v=Yf6-fJ-LcU8"/>
    <s v="Commerce College 2013 4. Discussion: Assimilation and retaining Civilizational Distinctiveness"/>
    <x v="18"/>
    <m/>
    <m/>
    <n v="1000"/>
    <x v="191"/>
    <s v="4 years ago"/>
    <m/>
    <m/>
    <m/>
    <x v="3"/>
    <m/>
    <m/>
    <m/>
    <m/>
  </r>
  <r>
    <n v="196"/>
    <x v="1"/>
    <m/>
    <m/>
    <s v="https://www.youtube.com/watch?v=L2rJctVLi3M"/>
    <s v="Commerce College 2013 5. Discussion: What inspired me and the role of my sadhana"/>
    <x v="18"/>
    <m/>
    <m/>
    <n v="1000"/>
    <x v="192"/>
    <s v="4 years ago"/>
    <m/>
    <m/>
    <m/>
    <x v="3"/>
    <m/>
    <m/>
    <m/>
    <m/>
  </r>
  <r>
    <n v="197"/>
    <x v="1"/>
    <m/>
    <m/>
    <s v="https://www.youtube.com/watch?v=wm8QHjKcDf8"/>
    <s v="Commerce College 2013 6. Discussion: What should be goal of students - career or serve the culture"/>
    <x v="18"/>
    <m/>
    <m/>
    <n v="1800"/>
    <x v="193"/>
    <s v="4 years ago"/>
    <m/>
    <m/>
    <m/>
    <x v="3"/>
    <m/>
    <m/>
    <m/>
    <m/>
  </r>
  <r>
    <n v="198"/>
    <x v="1"/>
    <m/>
    <m/>
    <s v="https://www.youtube.com/watch?v=U37L8EPVc5s"/>
    <s v="Commerce College 2013 7. Role of Indian languages, control of global standards discourse, &amp; power"/>
    <x v="18"/>
    <m/>
    <m/>
    <n v="2000"/>
    <x v="194"/>
    <s v="4 years ago"/>
    <m/>
    <m/>
    <m/>
    <x v="3"/>
    <m/>
    <m/>
    <m/>
    <m/>
  </r>
  <r>
    <n v="199"/>
    <x v="1"/>
    <m/>
    <m/>
    <s v="https://www.youtube.com/watch?v=ja-cxuo3ugc"/>
    <s v="Commerce College 2013 8. Discussion: Causes of youth disconnect from deep knowledge of roots"/>
    <x v="18"/>
    <m/>
    <m/>
    <n v="3100"/>
    <x v="195"/>
    <s v="4 years ago"/>
    <m/>
    <m/>
    <m/>
    <x v="3"/>
    <m/>
    <m/>
    <m/>
    <m/>
  </r>
  <r>
    <n v="200"/>
    <x v="1"/>
    <m/>
    <m/>
    <s v="https://www.youtube.com/watch?v=F95dqGlnggo"/>
    <s v="Indian Qualities that are Special &amp; Exportable_Commerce College 2013 #9"/>
    <x v="18"/>
    <m/>
    <m/>
    <n v="2400"/>
    <x v="196"/>
    <s v="4 years ago"/>
    <m/>
    <m/>
    <m/>
    <x v="3"/>
    <m/>
    <m/>
    <m/>
    <m/>
  </r>
  <r>
    <n v="201"/>
    <x v="1"/>
    <m/>
    <m/>
    <s v="https://www.youtube.com/watch?v=9IzjjqFO5c8"/>
    <s v="Baba Ramdev's Ashram: A Welcome Hug &amp; Discussion on Reversing the Gaze #1"/>
    <x v="18"/>
    <m/>
    <m/>
    <n v="8100"/>
    <x v="197"/>
    <s v="3 years ago"/>
    <m/>
    <m/>
    <m/>
    <x v="3"/>
    <m/>
    <m/>
    <m/>
    <m/>
  </r>
  <r>
    <n v="202"/>
    <x v="1"/>
    <m/>
    <m/>
    <s v="https://www.youtube.com/watch?v=5YuNKvTZtdM"/>
    <s v="Baba Ramdev's Ashram Vid 11: How to Name &amp; Position Hindi Edition of Breaking India"/>
    <x v="18"/>
    <m/>
    <m/>
    <n v="2700"/>
    <x v="198"/>
    <s v="3 years ago"/>
    <m/>
    <m/>
    <m/>
    <x v="3"/>
    <m/>
    <m/>
    <m/>
    <m/>
  </r>
  <r>
    <n v="203"/>
    <x v="1"/>
    <m/>
    <m/>
    <s v="https://www.youtube.com/watch?v=XeCuvEX-tow"/>
    <s v="Baba Ramdev's Ashram: Rajiv &amp; Baba Brainstorm #14"/>
    <x v="18"/>
    <m/>
    <m/>
    <n v="2900"/>
    <x v="199"/>
    <s v="3 years ago"/>
    <m/>
    <m/>
    <m/>
    <x v="3"/>
    <m/>
    <m/>
    <m/>
    <m/>
  </r>
  <r>
    <n v="204"/>
    <x v="1"/>
    <m/>
    <m/>
    <s v="https://www.youtube.com/watch?v=182HueOxCaU"/>
    <s v="Baba Ramdev Introduces Rajiv Malhotra to his Ashram Audience #2"/>
    <x v="18"/>
    <m/>
    <m/>
    <n v="3900"/>
    <x v="200"/>
    <s v="3 years ago"/>
    <m/>
    <m/>
    <m/>
    <x v="3"/>
    <m/>
    <m/>
    <m/>
    <m/>
  </r>
  <r>
    <n v="205"/>
    <x v="1"/>
    <m/>
    <m/>
    <s v="https://www.youtube.com/watch?v=t63m6GCrKbw"/>
    <s v="How Ayurveda Got Plagiarized by the Aveda Brand #5"/>
    <x v="18"/>
    <m/>
    <m/>
    <n v="3900"/>
    <x v="201"/>
    <s v="3 years ago"/>
    <m/>
    <m/>
    <m/>
    <x v="3"/>
    <m/>
    <m/>
    <m/>
    <m/>
  </r>
  <r>
    <n v="206"/>
    <x v="1"/>
    <m/>
    <m/>
    <s v="https://www.youtube.com/watch?v=Dymxd9hAemA"/>
    <s v="Rajiv Malhotra Exposes How Foreign Nexuses Operate in India #4"/>
    <x v="18"/>
    <m/>
    <m/>
    <n v="4400"/>
    <x v="202"/>
    <s v="3 years ago"/>
    <m/>
    <m/>
    <m/>
    <x v="3"/>
    <m/>
    <m/>
    <m/>
    <m/>
  </r>
  <r>
    <n v="207"/>
    <x v="1"/>
    <m/>
    <m/>
    <s v="https://www.youtube.com/watch?v=RKYffxIB9EM"/>
    <s v="Baba Ramdev's Ashram Vid 3: Rajiv &amp; Baba Ramdev Discuss Long Range Forces Breaking India"/>
    <x v="18"/>
    <m/>
    <m/>
    <n v="4200"/>
    <x v="203"/>
    <s v="3 years ago"/>
    <m/>
    <m/>
    <m/>
    <x v="3"/>
    <m/>
    <m/>
    <m/>
    <m/>
  </r>
  <r>
    <n v="208"/>
    <x v="1"/>
    <m/>
    <m/>
    <s v="https://www.youtube.com/watch?v=gU4jkSa9phY"/>
    <s v="Overview of Rajiv's Mission to Decolonize India Studies #6"/>
    <x v="18"/>
    <m/>
    <m/>
    <n v="1900"/>
    <x v="204"/>
    <s v="3 years ago"/>
    <m/>
    <m/>
    <m/>
    <x v="3"/>
    <m/>
    <m/>
    <m/>
    <m/>
  </r>
  <r>
    <n v="209"/>
    <x v="1"/>
    <m/>
    <m/>
    <s v="https://www.youtube.com/watch?v=y-v-Ijc7W3Y"/>
    <s v="Baba Ramdev's Ashram Vid 10: What inspired Rajiv to Research &amp; Write"/>
    <x v="18"/>
    <m/>
    <m/>
    <n v="2800"/>
    <x v="205"/>
    <s v="3 years ago"/>
    <m/>
    <m/>
    <m/>
    <x v="3"/>
    <m/>
    <m/>
    <m/>
    <m/>
  </r>
  <r>
    <n v="210"/>
    <x v="1"/>
    <m/>
    <m/>
    <s v="https://www.youtube.com/watch?v=zVH1ZOi2_yk"/>
    <s v="Baba Ramdev's Ashram Vid 12: Baba Ramdev's Comments on Rajiv's Talk &amp; Work"/>
    <x v="18"/>
    <m/>
    <m/>
    <n v="1300"/>
    <x v="206"/>
    <s v="3 years ago"/>
    <m/>
    <m/>
    <m/>
    <x v="3"/>
    <m/>
    <m/>
    <m/>
    <m/>
  </r>
  <r>
    <n v="211"/>
    <x v="1"/>
    <m/>
    <m/>
    <s v="https://www.youtube.com/watch?v=F-ZzB9uBQNs"/>
    <s v="Why People of India did not get Genocided like Native Americans: Rajiv Malhotra #9"/>
    <x v="18"/>
    <m/>
    <m/>
    <n v="8700"/>
    <x v="207"/>
    <s v="3 years ago"/>
    <m/>
    <m/>
    <m/>
    <x v="3"/>
    <m/>
    <m/>
    <m/>
    <m/>
  </r>
  <r>
    <n v="212"/>
    <x v="1"/>
    <m/>
    <m/>
    <s v="https://www.youtube.com/watch?v=AOQPqjRx-0c"/>
    <s v="Baba Ramdev's Ashram Vid 8: Indian Civilization Spread by Different Means than Others"/>
    <x v="18"/>
    <m/>
    <m/>
    <n v="2400"/>
    <x v="208"/>
    <s v="3 years ago"/>
    <m/>
    <m/>
    <m/>
    <x v="3"/>
    <m/>
    <m/>
    <m/>
    <m/>
  </r>
  <r>
    <n v="213"/>
    <x v="1"/>
    <m/>
    <m/>
    <s v="https://www.youtube.com/watch?v=8ZJ9Ubv74Fc"/>
    <s v="Why Rajiv Malhotra Endorses Baba Ramdev as President of India #7"/>
    <x v="18"/>
    <m/>
    <m/>
    <n v="2800"/>
    <x v="209"/>
    <s v="3 years ago"/>
    <m/>
    <m/>
    <m/>
    <x v="3"/>
    <m/>
    <m/>
    <m/>
    <m/>
  </r>
  <r>
    <n v="214"/>
    <x v="1"/>
    <m/>
    <m/>
    <s v="https://www.youtube.com/watch?v=9ScY3DQ8lnM"/>
    <s v="Rajiv Malhotra's Google Hangout for a Better India"/>
    <x v="18"/>
    <m/>
    <m/>
    <n v="8100"/>
    <x v="210"/>
    <s v="3 years ago"/>
    <m/>
    <m/>
    <m/>
    <x v="3"/>
    <m/>
    <m/>
    <m/>
    <m/>
  </r>
  <r>
    <n v="215"/>
    <x v="1"/>
    <m/>
    <m/>
    <s v="https://www.youtube.com/watch?v=gKt4SG-pAmw"/>
    <s v="Introduction by the Director of Vivekananda Int'l Foundation"/>
    <x v="18"/>
    <m/>
    <m/>
    <n v="1700"/>
    <x v="211"/>
    <s v="3 years ago"/>
    <m/>
    <m/>
    <m/>
    <x v="3"/>
    <m/>
    <m/>
    <m/>
    <m/>
  </r>
  <r>
    <n v="216"/>
    <x v="1"/>
    <m/>
    <m/>
    <s v="https://www.youtube.com/watch?v=2p91-Fy5A6Q"/>
    <s v="Arun Shourie quotes Indra's Net to clarify 'vasudhaiva kutumbakam'"/>
    <x v="18"/>
    <m/>
    <m/>
    <n v="3900"/>
    <x v="212"/>
    <s v="3 years ago"/>
    <m/>
    <m/>
    <m/>
    <x v="3"/>
    <m/>
    <m/>
    <m/>
    <m/>
  </r>
  <r>
    <n v="217"/>
    <x v="1"/>
    <m/>
    <m/>
    <s v="https://www.youtube.com/watch?v=30958J1ez4k"/>
    <s v="Conclusion and Book Signing"/>
    <x v="18"/>
    <m/>
    <m/>
    <n v="254"/>
    <x v="213"/>
    <s v="3 years ago"/>
    <m/>
    <m/>
    <m/>
    <x v="3"/>
    <m/>
    <m/>
    <m/>
    <m/>
  </r>
  <r>
    <n v="218"/>
    <x v="1"/>
    <m/>
    <m/>
    <s v="https://www.youtube.com/watch?v=nEEhdprZ-EE"/>
    <s v="Arun Shourie's Lecture on Rajiv Malhotra's Book &quot;Indra's Net&quot;"/>
    <x v="18"/>
    <m/>
    <m/>
    <n v="10000"/>
    <x v="214"/>
    <s v="3 years ago"/>
    <m/>
    <m/>
    <m/>
    <x v="3"/>
    <m/>
    <m/>
    <m/>
    <m/>
  </r>
  <r>
    <n v="219"/>
    <x v="1"/>
    <m/>
    <m/>
    <s v="https://www.youtube.com/watch?v=dXkhbNnOMy0"/>
    <s v="Rajiv Malhotra's Lecture on Indra's Net"/>
    <x v="18"/>
    <m/>
    <m/>
    <n v="7800"/>
    <x v="215"/>
    <s v="3 years ago"/>
    <m/>
    <m/>
    <m/>
    <x v="3"/>
    <m/>
    <m/>
    <m/>
    <m/>
  </r>
  <r>
    <n v="220"/>
    <x v="1"/>
    <m/>
    <m/>
    <s v="https://www.youtube.com/watch?v=YD-IKZbbHeU"/>
    <s v="Public Meeting &amp; Talk on 'Indra's Net' in Bangalore, 19 Jan 2014: Opening Ceremonies"/>
    <x v="18"/>
    <m/>
    <m/>
    <n v="499"/>
    <x v="216"/>
    <s v="3 years ago"/>
    <m/>
    <m/>
    <m/>
    <x v="3"/>
    <m/>
    <m/>
    <m/>
    <m/>
  </r>
  <r>
    <n v="221"/>
    <x v="1"/>
    <m/>
    <m/>
    <s v="https://www.youtube.com/watch?v=mLEhBqCBBYE"/>
    <s v="Public Meeting &amp; Talk on 'Indra's Net' Bangalore, 1/19/2014: Is Hinduism defined as a way of life?"/>
    <x v="18"/>
    <m/>
    <m/>
    <n v="2600"/>
    <x v="153"/>
    <s v="3 years ago"/>
    <m/>
    <m/>
    <m/>
    <x v="3"/>
    <m/>
    <m/>
    <m/>
    <m/>
  </r>
  <r>
    <n v="222"/>
    <x v="1"/>
    <m/>
    <m/>
    <s v="https://www.youtube.com/watch?v=cshbkDak_p0"/>
    <s v="Public Meeting &amp; Talk on 'Indra's Net' Bangalore, 1/19/2014: Why is the book titled 'Indra's Net'?"/>
    <x v="18"/>
    <m/>
    <m/>
    <n v="1100"/>
    <x v="217"/>
    <s v="3 years ago"/>
    <m/>
    <m/>
    <m/>
    <x v="3"/>
    <m/>
    <m/>
    <m/>
    <m/>
  </r>
  <r>
    <n v="223"/>
    <x v="1"/>
    <m/>
    <m/>
    <s v="https://www.youtube.com/watch?v=kmJLZRzZhUA"/>
    <s v="Rajiv Malhotra Talk on new Book 'Indra's Net' Bengaluru: What should we do about media biases"/>
    <x v="18"/>
    <m/>
    <m/>
    <n v="1400"/>
    <x v="218"/>
    <s v="3 years ago"/>
    <m/>
    <m/>
    <m/>
    <x v="3"/>
    <m/>
    <m/>
    <m/>
    <m/>
  </r>
  <r>
    <n v="224"/>
    <x v="1"/>
    <m/>
    <m/>
    <s v="https://www.youtube.com/watch?v=myyrtrylWQs"/>
    <s v="Public Meeting &amp; Talk on &quot;Indra's Net&quot; Bangalore 1/19/14: Where do you see India in the year 2020?"/>
    <x v="18"/>
    <m/>
    <m/>
    <n v="1400"/>
    <x v="219"/>
    <s v="3 years ago"/>
    <m/>
    <m/>
    <m/>
    <x v="3"/>
    <m/>
    <m/>
    <m/>
    <m/>
  </r>
  <r>
    <n v="225"/>
    <x v="1"/>
    <m/>
    <m/>
    <s v="https://www.youtube.com/watch?v=v6x52noLJOo"/>
    <s v="Talk on 'Indra's Net': Clarification on Mutual Respect"/>
    <x v="18"/>
    <m/>
    <m/>
    <n v="3600"/>
    <x v="220"/>
    <s v="3 years ago"/>
    <m/>
    <m/>
    <m/>
    <x v="3"/>
    <m/>
    <m/>
    <m/>
    <m/>
  </r>
  <r>
    <n v="226"/>
    <x v="1"/>
    <m/>
    <m/>
    <s v="https://www.youtube.com/watch?v=7zvf9bnLgs8"/>
    <s v="What is wrong with Ford Foundation: Rajiv Malhotra"/>
    <x v="18"/>
    <m/>
    <m/>
    <n v="7800"/>
    <x v="46"/>
    <s v="3 years ago"/>
    <m/>
    <m/>
    <m/>
    <x v="3"/>
    <m/>
    <m/>
    <m/>
    <m/>
  </r>
  <r>
    <n v="227"/>
    <x v="1"/>
    <m/>
    <m/>
    <s v="https://www.youtube.com/watch?v=7RTlRYpr7o8"/>
    <s v="Public Meeting &amp; Talk on 'Indra's Net' in Bangalore 1/19/14: Description of Rajiv's Bangalore trip"/>
    <x v="18"/>
    <m/>
    <m/>
    <n v="489"/>
    <x v="221"/>
    <s v="3 years ago"/>
    <m/>
    <m/>
    <m/>
    <x v="3"/>
    <m/>
    <m/>
    <m/>
    <m/>
  </r>
  <r>
    <n v="228"/>
    <x v="1"/>
    <m/>
    <m/>
    <s v="https://www.youtube.com/watch?v=Th1s8XrKhnk"/>
    <s v="Public Meeting/Talk on 'Indra's Net' Bangalore 1/19/14: Release Kannada edition of Being Different"/>
    <x v="18"/>
    <m/>
    <m/>
    <n v="413"/>
    <x v="197"/>
    <s v="3 years ago"/>
    <m/>
    <m/>
    <m/>
    <x v="3"/>
    <m/>
    <m/>
    <m/>
    <m/>
  </r>
  <r>
    <n v="229"/>
    <x v="1"/>
    <m/>
    <m/>
    <s v="https://www.youtube.com/watch?v=oYXPvuD_ejM"/>
    <s v="Talk on his The Book 'Indra's Net' by Rajiv Malhotra in Bangalore"/>
    <x v="18"/>
    <m/>
    <m/>
    <n v="11000"/>
    <x v="222"/>
    <s v="3 years ago"/>
    <m/>
    <m/>
    <m/>
    <x v="3"/>
    <m/>
    <m/>
    <m/>
    <m/>
  </r>
  <r>
    <n v="230"/>
    <x v="1"/>
    <m/>
    <m/>
    <s v="https://www.youtube.com/watch?v=Cs9JbmZ0poM"/>
    <s v="'Indra's Net': Sri Sri Sri Nirmalanandanath Swamy's Address"/>
    <x v="18"/>
    <m/>
    <m/>
    <n v="3900"/>
    <x v="1"/>
    <s v="3 years ago"/>
    <m/>
    <m/>
    <m/>
    <x v="3"/>
    <m/>
    <m/>
    <m/>
    <m/>
  </r>
  <r>
    <n v="231"/>
    <x v="1"/>
    <m/>
    <m/>
    <s v="https://www.youtube.com/watch?v=xGvABG6vfLg"/>
    <s v="Public Meeting/Talk Indra's Net, Bangalore 1/19/14: N Kumar-Justice of Karnataka High Court Address"/>
    <x v="18"/>
    <m/>
    <m/>
    <n v="2000"/>
    <x v="223"/>
    <s v="3 years ago"/>
    <m/>
    <m/>
    <m/>
    <x v="3"/>
    <m/>
    <m/>
    <m/>
    <m/>
  </r>
  <r>
    <n v="232"/>
    <x v="1"/>
    <m/>
    <m/>
    <s v="https://www.youtube.com/watch?v=QfYz6BBYpWg"/>
    <s v="Public Meeting &amp; Talk on 'Indra's Net' Bangalore 1/19/14: Conclusion of the event"/>
    <x v="18"/>
    <m/>
    <m/>
    <n v="769"/>
    <x v="224"/>
    <s v="3 years ago"/>
    <m/>
    <m/>
    <m/>
    <x v="3"/>
    <m/>
    <m/>
    <m/>
    <m/>
  </r>
  <r>
    <n v="233"/>
    <x v="1"/>
    <m/>
    <m/>
    <s v="https://www.youtube.com/watch?v=-rJtFWVJpjA"/>
    <s v="Ramakrishna Mission's Institute of Culture, Kolkata: Relationship between spirituality &amp; science?"/>
    <x v="18"/>
    <m/>
    <m/>
    <n v="651"/>
    <x v="225"/>
    <s v="3 years ago"/>
    <m/>
    <m/>
    <m/>
    <x v="3"/>
    <m/>
    <m/>
    <m/>
    <m/>
  </r>
  <r>
    <n v="234"/>
    <x v="1"/>
    <m/>
    <m/>
    <s v="https://www.youtube.com/watch?v=iY88UCitwGY"/>
    <s v="Ramakrishna Mission's Institute of Culture, Kolkata: Q&amp;A - Concerning the use of the word &quot;Hindu&quot;"/>
    <x v="18"/>
    <m/>
    <m/>
    <n v="957"/>
    <x v="226"/>
    <s v="3 years ago"/>
    <m/>
    <m/>
    <m/>
    <x v="3"/>
    <m/>
    <m/>
    <m/>
    <m/>
  </r>
  <r>
    <n v="235"/>
    <x v="1"/>
    <m/>
    <m/>
    <s v="https://www.youtube.com/watch?v=KBA7GLExw3o"/>
    <s v="Ramakrishna Mission's Institute of Culture, Kolkata: Q&amp;A - Who composes a Grand Narrative?"/>
    <x v="18"/>
    <m/>
    <m/>
    <n v="1200"/>
    <x v="227"/>
    <s v="3 years ago"/>
    <m/>
    <m/>
    <m/>
    <x v="3"/>
    <m/>
    <m/>
    <m/>
    <m/>
  </r>
  <r>
    <n v="236"/>
    <x v="1"/>
    <m/>
    <m/>
    <s v="https://www.youtube.com/watch?v=DoYL7K2djDY"/>
    <s v="Is The Grand Narrative Divisive? How To Protect Our Openness?"/>
    <x v="18"/>
    <m/>
    <m/>
    <n v="895"/>
    <x v="228"/>
    <s v="3 years ago"/>
    <m/>
    <m/>
    <m/>
    <x v="3"/>
    <m/>
    <m/>
    <m/>
    <m/>
  </r>
  <r>
    <n v="237"/>
    <x v="1"/>
    <m/>
    <m/>
    <s v="https://www.youtube.com/watch?v=GajqTVRZzfE"/>
    <s v="Ramakrishna Mission's Institute of Culture, Kolkata: Rajiv Malhotra's Lecture"/>
    <x v="18"/>
    <m/>
    <m/>
    <n v="4500"/>
    <x v="229"/>
    <s v="3 years ago"/>
    <m/>
    <m/>
    <m/>
    <x v="3"/>
    <m/>
    <m/>
    <m/>
    <m/>
  </r>
  <r>
    <n v="238"/>
    <x v="1"/>
    <m/>
    <m/>
    <s v="https://www.youtube.com/watch?v=QPVDHJcsv5U"/>
    <s v="Let's Protect Our Adhyatmic (Inner) Sciences From Quackery: Rajiv Malhotra"/>
    <x v="18"/>
    <m/>
    <m/>
    <n v="1600"/>
    <x v="230"/>
    <s v="3 years ago"/>
    <m/>
    <m/>
    <m/>
    <x v="3"/>
    <m/>
    <m/>
    <m/>
    <m/>
  </r>
  <r>
    <n v="239"/>
    <x v="1"/>
    <m/>
    <m/>
    <s v="https://www.youtube.com/watch?v=pfw-rEK12IA"/>
    <s v="IITK Indian Mind Sciences &amp; Their Importance Today:Loss of Liberal Arts &amp; Creativity in Indian Univ"/>
    <x v="18"/>
    <m/>
    <m/>
    <n v="825"/>
    <x v="12"/>
    <s v="3 years ago"/>
    <m/>
    <m/>
    <m/>
    <x v="3"/>
    <m/>
    <m/>
    <m/>
    <m/>
  </r>
  <r>
    <n v="240"/>
    <x v="1"/>
    <m/>
    <m/>
    <s v="https://www.youtube.com/watch?v=4H5piNrmsCU"/>
    <s v="IIT Kharagpur Indian Mind Sciences &amp; Their Importance Today: Rajiv's Guest Lecture"/>
    <x v="18"/>
    <m/>
    <m/>
    <n v="9900"/>
    <x v="231"/>
    <s v="3 years ago"/>
    <m/>
    <m/>
    <m/>
    <x v="3"/>
    <m/>
    <m/>
    <m/>
    <m/>
  </r>
  <r>
    <n v="241"/>
    <x v="1"/>
    <m/>
    <m/>
    <s v="https://www.youtube.com/watch?v=bEc29vVNLOc"/>
    <s v="IITK Indian Mind Sciences &amp; Their Importance Today: correct histories to pursue inner sciences"/>
    <x v="18"/>
    <m/>
    <m/>
    <n v="906"/>
    <x v="232"/>
    <s v="3 years ago"/>
    <m/>
    <m/>
    <m/>
    <x v="3"/>
    <m/>
    <m/>
    <m/>
    <m/>
  </r>
  <r>
    <n v="242"/>
    <x v="1"/>
    <m/>
    <m/>
    <s v="https://www.youtube.com/watch?v=7WA-8QBd5Tk"/>
    <s v="IIT Kharagpur Indian Mind Sciences &amp; Their Importance Today: Inner Sciences &amp; Simple Living"/>
    <x v="18"/>
    <m/>
    <m/>
    <n v="861"/>
    <x v="159"/>
    <s v="3 years ago"/>
    <m/>
    <m/>
    <m/>
    <x v="3"/>
    <m/>
    <m/>
    <m/>
    <m/>
  </r>
  <r>
    <n v="243"/>
    <x v="1"/>
    <m/>
    <m/>
    <s v="https://www.youtube.com/watch?v=3asYCknfoMo"/>
    <s v="IITK Indian Mind Sciences &amp; Their Importance Today: Advance Indian Ed Beyond Supplying Tech Coolies"/>
    <x v="18"/>
    <m/>
    <m/>
    <n v="1200"/>
    <x v="233"/>
    <s v="3 years ago"/>
    <m/>
    <m/>
    <m/>
    <x v="3"/>
    <m/>
    <m/>
    <m/>
    <m/>
  </r>
  <r>
    <n v="244"/>
    <x v="1"/>
    <m/>
    <m/>
    <s v="https://www.youtube.com/watch?v=4gAHt9ki2xY"/>
    <s v="Dr. Deepika Kothari introduces her film at launch of 'History of Yoga' film, Mumbai 1/26/2014"/>
    <x v="18"/>
    <m/>
    <m/>
    <n v="4000"/>
    <x v="20"/>
    <s v="3 years ago"/>
    <m/>
    <m/>
    <m/>
    <x v="3"/>
    <m/>
    <m/>
    <m/>
    <m/>
  </r>
  <r>
    <n v="245"/>
    <x v="1"/>
    <m/>
    <m/>
    <s v="https://www.youtube.com/watch?v=TbQkh6axHEM"/>
    <s v="Rajiv Malhotra Lecture as Chief Guest at launch of 'History of Yoga' film, Mumbai 1/26/2014"/>
    <x v="18"/>
    <m/>
    <m/>
    <n v="11000"/>
    <x v="234"/>
    <s v="3 years ago"/>
    <m/>
    <m/>
    <m/>
    <x v="3"/>
    <m/>
    <m/>
    <m/>
    <m/>
  </r>
  <r>
    <n v="246"/>
    <x v="1"/>
    <m/>
    <m/>
    <s v="https://www.youtube.com/watch?v=1_8y5fSSOlE"/>
    <s v="Rajiv Malhotra's Endorsement of the Film, &quot;History of Yoga&quot;"/>
    <x v="18"/>
    <m/>
    <m/>
    <n v="2400"/>
    <x v="235"/>
    <s v="3 years ago"/>
    <m/>
    <m/>
    <m/>
    <x v="3"/>
    <m/>
    <m/>
    <m/>
    <m/>
  </r>
  <r>
    <n v="247"/>
    <x v="1"/>
    <m/>
    <m/>
    <s v="https://www.youtube.com/watch?v=jaw4U_s24zo"/>
    <s v="Event Introduction - Indus University Release of Indra's Net Jan 29 2014"/>
    <x v="18"/>
    <m/>
    <m/>
    <n v="329"/>
    <x v="236"/>
    <s v="3 years ago"/>
    <m/>
    <m/>
    <m/>
    <x v="3"/>
    <m/>
    <m/>
    <m/>
    <m/>
  </r>
  <r>
    <n v="248"/>
    <x v="1"/>
    <m/>
    <m/>
    <s v="https://www.youtube.com/watch?v=R2XPp4eJXLk"/>
    <s v="Indus University Release of The Book Indra's Net_Q&amp;A"/>
    <x v="18"/>
    <m/>
    <m/>
    <n v="6200"/>
    <x v="237"/>
    <s v="3 years ago"/>
    <m/>
    <m/>
    <m/>
    <x v="3"/>
    <m/>
    <m/>
    <m/>
    <m/>
  </r>
  <r>
    <n v="249"/>
    <x v="1"/>
    <m/>
    <m/>
    <s v="https://www.youtube.com/watch?v=d9iObjKR5yI"/>
    <s v="India's Grand Narrative &amp; Talk on The Book 'Indra's Net' at Indus Uniersity"/>
    <x v="18"/>
    <m/>
    <m/>
    <n v="8700"/>
    <x v="238"/>
    <s v="3 years ago"/>
    <m/>
    <m/>
    <m/>
    <x v="3"/>
    <m/>
    <m/>
    <m/>
    <m/>
  </r>
  <r>
    <n v="250"/>
    <x v="1"/>
    <m/>
    <m/>
    <s v="https://www.youtube.com/watch?v=Ow3nJA8fhhQ"/>
    <s v="Rajiv Malhotra in Conversation with Mohandas Pai - Bangalore Literary Festival"/>
    <x v="18"/>
    <m/>
    <m/>
    <n v="31000"/>
    <x v="239"/>
    <s v="2 years ago"/>
    <m/>
    <m/>
    <m/>
    <x v="3"/>
    <m/>
    <m/>
    <m/>
    <m/>
  </r>
  <r>
    <n v="251"/>
    <x v="1"/>
    <m/>
    <m/>
    <s v="https://www.youtube.com/watch?v=yr_-UHm07rM"/>
    <s v="Rajiv Malhotra Panel Bangalore Literature Festival Sept, 2014"/>
    <x v="18"/>
    <m/>
    <m/>
    <n v="20000"/>
    <x v="240"/>
    <s v="2 years ago"/>
    <m/>
    <m/>
    <m/>
    <x v="3"/>
    <m/>
    <m/>
    <m/>
    <m/>
  </r>
  <r>
    <n v="252"/>
    <x v="1"/>
    <m/>
    <m/>
    <s v="https://www.youtube.com/watch?v=JNg9hu1QURw"/>
    <s v="Rajiv in conversation w/ Rajendra Pawar Chairman &amp; Harpal Singh Trustee, NIIT"/>
    <x v="18"/>
    <m/>
    <m/>
    <n v="7900"/>
    <x v="241"/>
    <s v="2 years ago"/>
    <m/>
    <m/>
    <m/>
    <x v="3"/>
    <m/>
    <m/>
    <m/>
    <m/>
  </r>
  <r>
    <n v="253"/>
    <x v="1"/>
    <m/>
    <m/>
    <s v="https://www.youtube.com/watch?v=11Ben3IvDQ0"/>
    <s v="Rajiv Malhotra's inaugural message at the launch of the ASIAN LENS initiative by NIIT University"/>
    <x v="18"/>
    <m/>
    <m/>
    <n v="2000"/>
    <x v="242"/>
    <s v="2 years ago"/>
    <m/>
    <m/>
    <m/>
    <x v="3"/>
    <m/>
    <m/>
    <m/>
    <m/>
  </r>
  <r>
    <n v="254"/>
    <x v="1"/>
    <m/>
    <m/>
    <s v="https://www.youtube.com/watch?v=xjZO-uNelDI"/>
    <s v="1. Introduction to Q&amp;A session in Washington DC"/>
    <x v="18"/>
    <m/>
    <m/>
    <n v="1500"/>
    <x v="243"/>
    <s v="2 years ago"/>
    <m/>
    <m/>
    <m/>
    <x v="3"/>
    <m/>
    <m/>
    <m/>
    <m/>
  </r>
  <r>
    <n v="255"/>
    <x v="1"/>
    <m/>
    <m/>
    <s v="https://www.youtube.com/watch?v=6oKx_bFPSSA"/>
    <s v="2. Rajiv describes the stages of his own journey over the past 20 years"/>
    <x v="18"/>
    <m/>
    <m/>
    <n v="2300"/>
    <x v="244"/>
    <s v="2 years ago"/>
    <m/>
    <m/>
    <m/>
    <x v="3"/>
    <m/>
    <m/>
    <m/>
    <m/>
  </r>
  <r>
    <n v="256"/>
    <x v="1"/>
    <m/>
    <m/>
    <s v="https://www.youtube.com/watch?v=_Anq0CTYGt8"/>
    <s v="3. Who is Rajiv's guru"/>
    <x v="18"/>
    <m/>
    <m/>
    <n v="3800"/>
    <x v="245"/>
    <s v="2 years ago"/>
    <m/>
    <m/>
    <m/>
    <x v="3"/>
    <m/>
    <m/>
    <m/>
    <m/>
  </r>
  <r>
    <n v="257"/>
    <x v="1"/>
    <m/>
    <m/>
    <s v="https://www.youtube.com/watch?v=_xIbCmTtK8s"/>
    <s v="4. What are the four books Rajiv has published thus far"/>
    <x v="18"/>
    <m/>
    <m/>
    <n v="1400"/>
    <x v="246"/>
    <s v="2 years ago"/>
    <m/>
    <m/>
    <m/>
    <x v="3"/>
    <m/>
    <m/>
    <m/>
    <m/>
  </r>
  <r>
    <n v="258"/>
    <x v="1"/>
    <m/>
    <m/>
    <s v="https://www.youtube.com/watch?v=qGie_-i1j6o"/>
    <s v="What is Neo Hinduism &amp; Why Our Opponents Want to Propagate it #5"/>
    <x v="18"/>
    <m/>
    <m/>
    <n v="6900"/>
    <x v="196"/>
    <s v="2 years ago"/>
    <m/>
    <m/>
    <m/>
    <x v="3"/>
    <m/>
    <m/>
    <m/>
    <m/>
  </r>
  <r>
    <n v="259"/>
    <x v="1"/>
    <m/>
    <m/>
    <s v="https://www.youtube.com/watch?v=VwTbkm1NN4Y"/>
    <s v="Why is Namaz Practice in Islam Not 'Embodied' in the Dharma Sense #6"/>
    <x v="18"/>
    <m/>
    <m/>
    <n v="29000"/>
    <x v="247"/>
    <s v="2 years ago"/>
    <m/>
    <m/>
    <m/>
    <x v="3"/>
    <m/>
    <m/>
    <m/>
    <m/>
  </r>
  <r>
    <n v="260"/>
    <x v="1"/>
    <m/>
    <m/>
    <s v="https://www.youtube.com/watch?v=WQObFfIG62Q"/>
    <s v="7. Explain your goal of being non ignorable"/>
    <x v="18"/>
    <m/>
    <m/>
    <n v="2600"/>
    <x v="248"/>
    <s v="2 years ago"/>
    <m/>
    <m/>
    <m/>
    <x v="3"/>
    <m/>
    <m/>
    <m/>
    <m/>
  </r>
  <r>
    <n v="261"/>
    <x v="1"/>
    <m/>
    <m/>
    <s v="https://www.youtube.com/watch?v=CouNRYMLDmY"/>
    <s v="8. What are your issues with funding India related chairs in the West"/>
    <x v="18"/>
    <m/>
    <m/>
    <n v="1000"/>
    <x v="143"/>
    <s v="2 years ago"/>
    <m/>
    <m/>
    <m/>
    <x v="3"/>
    <m/>
    <m/>
    <m/>
    <m/>
  </r>
  <r>
    <n v="262"/>
    <x v="1"/>
    <m/>
    <m/>
    <s v="https://www.youtube.com/watch?v=ZWkU2WQv4mM"/>
    <s v="9. How should we infiltrate the Western academy"/>
    <x v="18"/>
    <m/>
    <m/>
    <n v="5000"/>
    <x v="249"/>
    <s v="2 years ago"/>
    <m/>
    <m/>
    <m/>
    <x v="3"/>
    <m/>
    <m/>
    <m/>
    <m/>
  </r>
  <r>
    <n v="263"/>
    <x v="1"/>
    <m/>
    <m/>
    <s v="https://www.youtube.com/watch?v=ziCW-l-SXRM"/>
    <s v="What Should Hindus do to Compete Against Church Seminaries Producing Research #10"/>
    <x v="18"/>
    <m/>
    <m/>
    <n v="4500"/>
    <x v="250"/>
    <s v="2 years ago"/>
    <m/>
    <m/>
    <m/>
    <x v="3"/>
    <m/>
    <m/>
    <m/>
    <m/>
  </r>
  <r>
    <n v="264"/>
    <x v="1"/>
    <m/>
    <m/>
    <s v="https://www.youtube.com/watch?v=mNRX-8C-RmY"/>
    <s v="11. How to scale up Rajiv's work to become like a research seminary"/>
    <x v="18"/>
    <m/>
    <m/>
    <n v="1400"/>
    <x v="251"/>
    <s v="2 years ago"/>
    <m/>
    <m/>
    <m/>
    <x v="3"/>
    <m/>
    <m/>
    <m/>
    <m/>
  </r>
  <r>
    <n v="265"/>
    <x v="1"/>
    <m/>
    <m/>
    <s v="https://www.youtube.com/watch?v=hH3jbt-s4aY"/>
    <s v="Rajiv Malhotra in conversation with Aam Admi Party leaders just before election"/>
    <x v="18"/>
    <m/>
    <m/>
    <n v="6800"/>
    <x v="252"/>
    <s v="2 years ago"/>
    <m/>
    <m/>
    <m/>
    <x v="3"/>
    <m/>
    <m/>
    <m/>
    <m/>
  </r>
  <r>
    <n v="266"/>
    <x v="1"/>
    <m/>
    <m/>
    <s v="https://www.youtube.com/watch?v=zyTsxv3NJzA"/>
    <s v="Rajiv Malhotra: Chief Guest Manipal Univ_Intl Conf on Language &amp; Literature"/>
    <x v="18"/>
    <m/>
    <m/>
    <n v="3200"/>
    <x v="253"/>
    <s v="2 years ago"/>
    <m/>
    <m/>
    <m/>
    <x v="3"/>
    <m/>
    <m/>
    <m/>
    <m/>
  </r>
  <r>
    <n v="267"/>
    <x v="1"/>
    <m/>
    <m/>
    <s v="https://www.youtube.com/watch?v=yYhGJH2NjBA"/>
    <s v="Western Dichotomies towards Dharma - Rajiv Malhotra Lecture at India House, Houston Dec 13 2014"/>
    <x v="18"/>
    <m/>
    <m/>
    <n v="4400"/>
    <x v="254"/>
    <s v="2 years ago"/>
    <m/>
    <m/>
    <m/>
    <x v="3"/>
    <m/>
    <m/>
    <m/>
    <m/>
  </r>
  <r>
    <n v="268"/>
    <x v="1"/>
    <m/>
    <m/>
    <s v="https://www.youtube.com/watch?v=R_G2Gd70LiY"/>
    <s v="Hindu-Christian Debate Between Rajiv Malhotra &amp; Christian Eberhart"/>
    <x v="18"/>
    <m/>
    <m/>
    <n v="64000"/>
    <x v="255"/>
    <s v="2 years ago"/>
    <m/>
    <m/>
    <m/>
    <x v="3"/>
    <m/>
    <m/>
    <m/>
    <m/>
  </r>
  <r>
    <n v="269"/>
    <x v="1"/>
    <m/>
    <m/>
    <s v="https://www.youtube.com/watch?v=k6dsew1B6SE"/>
    <s v="Indian Americans &amp; Indian Grand Narrative - Rajiv Malhotra Lecture/Q&amp;A Woodlands Temple Dec 14 2014"/>
    <x v="18"/>
    <m/>
    <m/>
    <n v="6000"/>
    <x v="256"/>
    <s v="2 years ago"/>
    <m/>
    <m/>
    <m/>
    <x v="3"/>
    <m/>
    <m/>
    <m/>
    <m/>
  </r>
  <r>
    <n v="270"/>
    <x v="1"/>
    <m/>
    <m/>
    <s v="https://www.youtube.com/watch?v=X4TDNzwe3s4"/>
    <s v="John Dayal - Debating foreign funded NGOs with John Dayal and others"/>
    <x v="18"/>
    <m/>
    <m/>
    <n v="8800"/>
    <x v="257"/>
    <s v="2 years ago"/>
    <m/>
    <m/>
    <m/>
    <x v="3"/>
    <m/>
    <m/>
    <m/>
    <m/>
  </r>
  <r>
    <n v="271"/>
    <x v="1"/>
    <m/>
    <m/>
    <s v="https://www.youtube.com/watch?v=_OWY_haNDNI"/>
    <s v="Rajiv Malhotra: Debating Foreign Funded NGOs with John Dayal &amp; others"/>
    <x v="18"/>
    <m/>
    <m/>
    <n v="46000"/>
    <x v="258"/>
    <s v="2 years ago"/>
    <m/>
    <m/>
    <m/>
    <x v="3"/>
    <m/>
    <m/>
    <m/>
    <m/>
  </r>
  <r>
    <n v="272"/>
    <x v="1"/>
    <m/>
    <m/>
    <s v="https://www.youtube.com/watch?v=s1VIjn0qPQg"/>
    <s v="NDTV 'We the People' debate on Foreign NGOs moderated by Barkha Dutt"/>
    <x v="18"/>
    <m/>
    <m/>
    <n v="7600"/>
    <x v="259"/>
    <s v="2 years ago"/>
    <m/>
    <m/>
    <m/>
    <x v="3"/>
    <m/>
    <m/>
    <m/>
    <m/>
  </r>
  <r>
    <n v="273"/>
    <x v="1"/>
    <m/>
    <m/>
    <s v="https://www.youtube.com/watch?v=NpqJHyWjh7A"/>
    <s v="Rajiv Opening Remarks - JNU Roundtable on Decolonizing the Academy &amp; Debating breaking India forces"/>
    <x v="18"/>
    <m/>
    <m/>
    <n v="12000"/>
    <x v="260"/>
    <s v="2 years ago"/>
    <m/>
    <m/>
    <m/>
    <x v="3"/>
    <m/>
    <m/>
    <m/>
    <m/>
  </r>
  <r>
    <n v="274"/>
    <x v="1"/>
    <m/>
    <m/>
    <s v="https://www.youtube.com/watch?v=m9xF54UZFuY"/>
    <s v="Dr. Tribhuvan Singh - JNU Roundtable on Decolonizing the Academy &amp; Debating breaking India forces"/>
    <x v="18"/>
    <m/>
    <m/>
    <n v="4400"/>
    <x v="261"/>
    <s v="2 years ago"/>
    <m/>
    <m/>
    <m/>
    <x v="3"/>
    <m/>
    <m/>
    <m/>
    <m/>
  </r>
  <r>
    <n v="275"/>
    <x v="1"/>
    <m/>
    <m/>
    <s v="https://www.youtube.com/watch?v=srr9jTynwdo"/>
    <s v="Dr. Udit Raj Talk - JNU Roundtable on Decolonizing the Academy &amp; Debating Breaking India Forces"/>
    <x v="18"/>
    <m/>
    <m/>
    <n v="4500"/>
    <x v="262"/>
    <s v="2 years ago"/>
    <m/>
    <m/>
    <m/>
    <x v="3"/>
    <m/>
    <m/>
    <m/>
    <m/>
  </r>
  <r>
    <n v="276"/>
    <x v="1"/>
    <m/>
    <m/>
    <s v="https://www.youtube.com/watch?v=w5KPpzfrQQY"/>
    <s v="Prof Girish Nath Jha - JNU Roundtable on Decolonizing the Academy &amp; Debating Breaking India Forces"/>
    <x v="18"/>
    <m/>
    <m/>
    <n v="4300"/>
    <x v="263"/>
    <s v="2 years ago"/>
    <m/>
    <m/>
    <m/>
    <x v="3"/>
    <m/>
    <m/>
    <m/>
    <m/>
  </r>
  <r>
    <n v="277"/>
    <x v="1"/>
    <m/>
    <m/>
    <s v="https://www.youtube.com/watch?v=AuVaei10Du0"/>
    <s v="Concluding discussion turns into shouting match between students &amp; Udit Raj - JNU Roundtable"/>
    <x v="18"/>
    <m/>
    <m/>
    <n v="34000"/>
    <x v="264"/>
    <s v="2 years ago"/>
    <m/>
    <m/>
    <m/>
    <x v="3"/>
    <m/>
    <m/>
    <m/>
    <m/>
  </r>
  <r>
    <n v="278"/>
    <x v="1"/>
    <m/>
    <m/>
    <s v="https://www.youtube.com/watch?v=1GLaXQ6Rgcg"/>
    <s v="Rajiv Malhotra's Talk at Art of Living: Where is Dharma in the 21st Century"/>
    <x v="18"/>
    <m/>
    <m/>
    <n v="27000"/>
    <x v="265"/>
    <s v="2 years ago"/>
    <m/>
    <m/>
    <m/>
    <x v="3"/>
    <m/>
    <m/>
    <m/>
    <m/>
  </r>
  <r>
    <n v="279"/>
    <x v="1"/>
    <m/>
    <m/>
    <s v="https://www.youtube.com/watch?v=FKg_FjS3qZw"/>
    <s v="The Evolution of Yajna: Rajiv Malhotra at Maharishi University"/>
    <x v="18"/>
    <m/>
    <m/>
    <n v="6600"/>
    <x v="266"/>
    <s v="2 years ago"/>
    <m/>
    <m/>
    <m/>
    <x v="3"/>
    <m/>
    <m/>
    <m/>
    <m/>
  </r>
  <r>
    <n v="280"/>
    <x v="1"/>
    <m/>
    <m/>
    <s v="https://www.youtube.com/watch?v=EHQ6eLHDs78"/>
    <s v="Are Indians ignoring our civilization while the West appropriates it"/>
    <x v="18"/>
    <m/>
    <m/>
    <n v="7200"/>
    <x v="267"/>
    <s v="2 years ago"/>
    <m/>
    <m/>
    <m/>
    <x v="3"/>
    <m/>
    <m/>
    <m/>
    <m/>
  </r>
  <r>
    <n v="281"/>
    <x v="1"/>
    <m/>
    <m/>
    <s v="https://www.youtube.com/watch?v=-cC-ErXYdnI"/>
    <s v="Debate on 'Hinduism &amp; Indian Grand Narrative', Delhi Univ Psychology Dept"/>
    <x v="18"/>
    <m/>
    <m/>
    <n v="20000"/>
    <x v="268"/>
    <s v="2 years ago"/>
    <m/>
    <m/>
    <m/>
    <x v="3"/>
    <m/>
    <m/>
    <m/>
    <m/>
  </r>
  <r>
    <n v="282"/>
    <x v="1"/>
    <m/>
    <m/>
    <s v="https://www.youtube.com/watch?v=dZCZp5udJeI"/>
    <s v="Are Sanskrit Studies in the West becoming the New Orientalism?"/>
    <x v="18"/>
    <m/>
    <m/>
    <n v="11000"/>
    <x v="269"/>
    <s v="2 years ago"/>
    <m/>
    <m/>
    <m/>
    <x v="3"/>
    <m/>
    <m/>
    <m/>
    <m/>
  </r>
  <r>
    <n v="283"/>
    <x v="1"/>
    <m/>
    <m/>
    <s v="https://www.youtube.com/watch?v=O5i1SD7KFkI"/>
    <s v="Lecture on Dharma, Sanskrit &amp; Science, Goa, Feb 26, 2015"/>
    <x v="18"/>
    <m/>
    <m/>
    <n v="10000"/>
    <x v="270"/>
    <s v="2 years ago"/>
    <m/>
    <m/>
    <m/>
    <x v="3"/>
    <m/>
    <m/>
    <m/>
    <m/>
  </r>
  <r>
    <n v="284"/>
    <x v="1"/>
    <m/>
    <m/>
    <s v="https://www.youtube.com/watch?v=Q3ZGmGasWfc"/>
    <s v="Lecture 'Is our Sanskriti being distorted by the Americanization of Sanskrit Studies' at Sastra Univ"/>
    <x v="18"/>
    <m/>
    <m/>
    <n v="4700"/>
    <x v="271"/>
    <s v="2 years ago"/>
    <m/>
    <m/>
    <m/>
    <x v="3"/>
    <m/>
    <m/>
    <m/>
    <m/>
  </r>
  <r>
    <n v="285"/>
    <x v="1"/>
    <m/>
    <m/>
    <s v="https://www.youtube.com/watch?v=JbxzX8kwig4"/>
    <s v="World Sanskrit Congress 2015: Is Sanskrit Dead or Alive, Political or Sacred"/>
    <x v="18"/>
    <m/>
    <m/>
    <n v="6700"/>
    <x v="272"/>
    <s v="2 years ago"/>
    <m/>
    <m/>
    <m/>
    <x v="3"/>
    <m/>
    <m/>
    <m/>
    <m/>
  </r>
  <r>
    <n v="286"/>
    <x v="1"/>
    <m/>
    <m/>
    <s v="https://www.youtube.com/watch?v=Uxcvh2BQu1g"/>
    <s v="Rajiv Malhotra's The Battle of Sanskrit Launch, Samskrita Bharati, Bengaluru"/>
    <x v="18"/>
    <m/>
    <m/>
    <n v="11000"/>
    <x v="273"/>
    <s v="1 year ago"/>
    <m/>
    <m/>
    <m/>
    <x v="3"/>
    <m/>
    <m/>
    <m/>
    <m/>
  </r>
  <r>
    <n v="287"/>
    <x v="1"/>
    <m/>
    <m/>
    <s v="https://www.youtube.com/watch?v=0-Ishanuvj8"/>
    <s v="The Importance of Swadeshi Indology: Rajiv Malhotra"/>
    <x v="18"/>
    <m/>
    <m/>
    <n v="14000"/>
    <x v="274"/>
    <s v="1 year ago"/>
    <m/>
    <m/>
    <m/>
    <x v="3"/>
    <m/>
    <m/>
    <m/>
    <m/>
  </r>
  <r>
    <n v="288"/>
    <x v="1"/>
    <m/>
    <m/>
    <s v="https://www.youtube.com/watch?v=j84sUcOTBRM"/>
    <s v="Reversing the Gaze (Purva-Paksha) on Western Indology, Karnataka Sanskrit University"/>
    <x v="18"/>
    <m/>
    <m/>
    <n v="6900"/>
    <x v="275"/>
    <s v="1 year ago"/>
    <m/>
    <m/>
    <m/>
    <x v="3"/>
    <m/>
    <m/>
    <m/>
    <m/>
  </r>
  <r>
    <n v="289"/>
    <x v="1"/>
    <m/>
    <m/>
    <s v="https://www.youtube.com/watch?v=NQUbNykwFG4"/>
    <s v="&quot;Taking back our heritage: My message to India's youth&quot; at IIT Madras"/>
    <x v="18"/>
    <m/>
    <m/>
    <n v="22000"/>
    <x v="276"/>
    <s v="1 year ago"/>
    <m/>
    <m/>
    <m/>
    <x v="3"/>
    <m/>
    <m/>
    <m/>
    <m/>
  </r>
  <r>
    <n v="290"/>
    <x v="1"/>
    <m/>
    <m/>
    <s v="https://www.youtube.com/watch?v=zILqg37PouM"/>
    <s v="Roddam Narasimha &amp; Mohandas Pai discuss &quot;The Battle For Sanskrit&quot; with Rajiv Malhotra"/>
    <x v="18"/>
    <m/>
    <m/>
    <n v="13000"/>
    <x v="277"/>
    <s v="1 year ago"/>
    <m/>
    <m/>
    <m/>
    <x v="3"/>
    <m/>
    <m/>
    <m/>
    <m/>
  </r>
  <r>
    <n v="291"/>
    <x v="1"/>
    <m/>
    <m/>
    <s v="https://www.youtube.com/watch?v=fzzIeVO7-qk"/>
    <s v="Rajiv Malhotra's Encounter With The Indian Left at Tata Institute of Social Sciences"/>
    <x v="18"/>
    <m/>
    <m/>
    <n v="51000"/>
    <x v="278"/>
    <s v="1 year ago"/>
    <m/>
    <m/>
    <m/>
    <x v="3"/>
    <m/>
    <m/>
    <m/>
    <m/>
  </r>
  <r>
    <n v="292"/>
    <x v="1"/>
    <m/>
    <m/>
    <s v="https://www.youtube.com/watch?v=-fhrU0xoCgk"/>
    <s v="In conversation with Madhu Kishwar: The Battle For Sanskrit"/>
    <x v="18"/>
    <m/>
    <m/>
    <n v="11000"/>
    <x v="279"/>
    <s v="1 year ago"/>
    <m/>
    <m/>
    <m/>
    <x v="3"/>
    <m/>
    <m/>
    <m/>
    <m/>
  </r>
  <r>
    <n v="293"/>
    <x v="1"/>
    <m/>
    <m/>
    <s v="https://www.youtube.com/watch?v=OXYcMlprdL4"/>
    <s v="&quot;Geopolitics &amp; the study of Indian Civilization&quot;: A very large event at IIT Bombay"/>
    <x v="18"/>
    <m/>
    <m/>
    <n v="19000"/>
    <x v="280"/>
    <s v="1 year ago"/>
    <m/>
    <m/>
    <m/>
    <x v="3"/>
    <m/>
    <m/>
    <m/>
    <m/>
  </r>
  <r>
    <n v="294"/>
    <x v="1"/>
    <m/>
    <m/>
    <s v="https://www.youtube.com/watch?v=yZ08CJsgurU"/>
    <s v="Zee News_Rohit Sardana Interviews Rajiv Malhotra_Feb 2016"/>
    <x v="18"/>
    <m/>
    <m/>
    <n v="19000"/>
    <x v="281"/>
    <s v="1 year ago"/>
    <m/>
    <m/>
    <m/>
    <x v="3"/>
    <m/>
    <m/>
    <m/>
    <m/>
  </r>
  <r>
    <n v="295"/>
    <x v="1"/>
    <m/>
    <m/>
    <s v="https://www.youtube.com/watch?v=c13ZN5rYckE"/>
    <s v="Sri Sri Ravi Shankar Launches &quot;The Battle For Sanskrit&quot; in Art of Living Campus, Bangalore"/>
    <x v="18"/>
    <m/>
    <m/>
    <n v="3500"/>
    <x v="282"/>
    <s v="1 year ago"/>
    <m/>
    <m/>
    <m/>
    <x v="3"/>
    <m/>
    <m/>
    <m/>
    <m/>
  </r>
  <r>
    <n v="296"/>
    <x v="1"/>
    <m/>
    <m/>
    <s v="https://www.youtube.com/watch?v=p3i_mI87a3E"/>
    <s v="Chinmaya Mission, Amish Tripathi &amp; Rajiv Malhotra discuss &quot;The Battle For Sanskrit&quot;"/>
    <x v="18"/>
    <m/>
    <m/>
    <n v="10000"/>
    <x v="283"/>
    <s v="1 year ago"/>
    <m/>
    <m/>
    <m/>
    <x v="3"/>
    <m/>
    <m/>
    <m/>
    <m/>
  </r>
  <r>
    <n v="297"/>
    <x v="1"/>
    <m/>
    <m/>
    <s v="https://www.youtube.com/watch?v=FrXBeS9Vj40"/>
    <s v="Art of Living: &quot;The Battle For Sanskrit&quot; talk in Bangalore ashram"/>
    <x v="18"/>
    <m/>
    <m/>
    <n v="10000"/>
    <x v="284"/>
    <s v="1 year ago"/>
    <m/>
    <m/>
    <m/>
    <x v="3"/>
    <m/>
    <m/>
    <m/>
    <m/>
  </r>
  <r>
    <n v="298"/>
    <x v="1"/>
    <m/>
    <m/>
    <s v="https://www.youtube.com/watch?v=kaJQx-nXg6M"/>
    <s v="Rajiv Malhotra responds to questions at a Vedic Gurukulam, Bidadi"/>
    <x v="18"/>
    <m/>
    <m/>
    <n v="15000"/>
    <x v="285"/>
    <s v="1 year ago"/>
    <m/>
    <m/>
    <m/>
    <x v="3"/>
    <m/>
    <m/>
    <m/>
    <m/>
  </r>
  <r>
    <n v="299"/>
    <x v="1"/>
    <m/>
    <m/>
    <s v="https://www.youtube.com/watch?v=fyMRRD_YeRI"/>
    <s v="Ramakrishna Mission (Chennai) presents Rajiv Malhotra's talk/Q&amp;A on: Sacredness and Sanskrit"/>
    <x v="18"/>
    <m/>
    <m/>
    <n v="3100"/>
    <x v="286"/>
    <s v="1 year ago"/>
    <m/>
    <m/>
    <m/>
    <x v="3"/>
    <m/>
    <m/>
    <m/>
    <m/>
  </r>
  <r>
    <n v="300"/>
    <x v="1"/>
    <m/>
    <m/>
    <s v="https://www.youtube.com/watch?v=OHn7cvWw5gE"/>
    <s v="JNU: Rajiv Malhotra's New Book THE BATTLE FOR SANSKRIT_full video"/>
    <x v="18"/>
    <m/>
    <m/>
    <n v="27000"/>
    <x v="287"/>
    <s v="1 year ago"/>
    <m/>
    <m/>
    <m/>
    <x v="3"/>
    <m/>
    <m/>
    <m/>
    <m/>
  </r>
  <r>
    <n v="301"/>
    <x v="1"/>
    <m/>
    <m/>
    <s v="https://www.youtube.com/watch?v=tBf6vZKjL9w"/>
    <s v="Battle For Sanskrit: How Samskrita Bharati &amp; Rajiv Malhotra can collaborate"/>
    <x v="18"/>
    <m/>
    <m/>
    <n v="4600"/>
    <x v="288"/>
    <s v="1 year ago"/>
    <m/>
    <m/>
    <m/>
    <x v="3"/>
    <m/>
    <m/>
    <m/>
    <m/>
  </r>
  <r>
    <n v="302"/>
    <x v="1"/>
    <m/>
    <m/>
    <s v="https://www.youtube.com/watch?v=tNKCTknE59M"/>
    <s v="Rajiv Malhotra Darshan with Kanchi Shankaracharyas to Discuss Common Interests"/>
    <x v="18"/>
    <m/>
    <m/>
    <n v="27000"/>
    <x v="289"/>
    <s v="1 year ago"/>
    <m/>
    <m/>
    <m/>
    <x v="3"/>
    <m/>
    <m/>
    <m/>
    <m/>
  </r>
  <r>
    <n v="303"/>
    <x v="1"/>
    <m/>
    <m/>
    <s v="https://www.youtube.com/watch?v=0DzUUFbFZHs"/>
    <s v="&quot;Removing the burqa from our minds&quot;: Rajiv Malhotra's lecture &amp; interaction in Bangalore"/>
    <x v="18"/>
    <m/>
    <m/>
    <n v="7500"/>
    <x v="290"/>
    <s v="1 year ago"/>
    <m/>
    <m/>
    <m/>
    <x v="3"/>
    <m/>
    <m/>
    <m/>
    <m/>
  </r>
  <r>
    <n v="304"/>
    <x v="1"/>
    <m/>
    <m/>
    <s v="https://www.youtube.com/watch?v=59-D2X_vmlA"/>
    <s v="Delhi University's distinguished panel discusses THE BATTLE FOR SANSKRIT"/>
    <x v="18"/>
    <m/>
    <m/>
    <n v="5700"/>
    <x v="291"/>
    <s v="1 year ago"/>
    <m/>
    <m/>
    <m/>
    <x v="3"/>
    <m/>
    <m/>
    <m/>
    <m/>
  </r>
  <r>
    <n v="305"/>
    <x v="1"/>
    <m/>
    <m/>
    <s v="https://www.youtube.com/watch?v=NhDs3OPqMQ4"/>
    <s v="Rajiv Malhotra interviewed by young California enterpreneur, Balaji Srinivasan"/>
    <x v="18"/>
    <m/>
    <m/>
    <n v="20000"/>
    <x v="292"/>
    <s v="1 year ago"/>
    <m/>
    <m/>
    <m/>
    <x v="3"/>
    <m/>
    <m/>
    <m/>
    <m/>
  </r>
  <r>
    <n v="306"/>
    <x v="1"/>
    <m/>
    <m/>
    <s v="https://www.youtube.com/watch?v=7JNUG5Lyals"/>
    <s v="Are Indian Intellectuals Free Thinkers or Colonized: Indus University, TBFS Launch"/>
    <x v="18"/>
    <m/>
    <m/>
    <n v="6300"/>
    <x v="293"/>
    <s v="1 year ago"/>
    <m/>
    <m/>
    <m/>
    <x v="3"/>
    <m/>
    <m/>
    <m/>
    <m/>
  </r>
  <r>
    <n v="307"/>
    <x v="1"/>
    <m/>
    <m/>
    <s v="https://www.youtube.com/watch?v=T-iBVjoTxpY"/>
    <s v="Kanchi Shankaracharya's devotees in USA discuss &quot;The Battle For Sanskrit&quot;"/>
    <x v="18"/>
    <m/>
    <m/>
    <n v="6800"/>
    <x v="294"/>
    <s v="1 year ago"/>
    <m/>
    <m/>
    <m/>
    <x v="3"/>
    <m/>
    <m/>
    <m/>
    <m/>
  </r>
  <r>
    <n v="308"/>
    <x v="1"/>
    <m/>
    <m/>
    <s v="https://www.youtube.com/watch?v=2RlQdQoP4mE"/>
    <s v="Will Indian Corporate Leaders Support Swadeshi Indology?"/>
    <x v="18"/>
    <m/>
    <m/>
    <n v="9900"/>
    <x v="295"/>
    <s v="1 year ago"/>
    <m/>
    <m/>
    <m/>
    <x v="3"/>
    <m/>
    <m/>
    <m/>
    <m/>
  </r>
  <r>
    <n v="309"/>
    <x v="1"/>
    <m/>
    <m/>
    <s v="https://www.youtube.com/watch?v=9eSzra79z-I"/>
    <s v="&quot;The Battle For Sanskrit&quot; discussed by Ramesh Pandey, VC of L.B.S. Rashtriya Sanskrit Vidyapeeth"/>
    <x v="18"/>
    <m/>
    <m/>
    <n v="849"/>
    <x v="296"/>
    <s v="1 year ago"/>
    <m/>
    <m/>
    <m/>
    <x v="3"/>
    <m/>
    <m/>
    <m/>
    <m/>
  </r>
  <r>
    <n v="310"/>
    <x v="1"/>
    <m/>
    <m/>
    <s v="https://www.youtube.com/watch?v=t5AEphve0P8"/>
    <s v="Samskrita Bharati panel discussion in Delhi: &quot;The Battle For Sanskrit&quot;"/>
    <x v="18"/>
    <m/>
    <m/>
    <n v="799"/>
    <x v="297"/>
    <s v="1 year ago"/>
    <m/>
    <m/>
    <m/>
    <x v="3"/>
    <m/>
    <m/>
    <m/>
    <m/>
  </r>
  <r>
    <n v="311"/>
    <x v="1"/>
    <m/>
    <m/>
    <s v="https://www.youtube.com/watch?v=zm-fPGwlflY"/>
    <s v="Prof P.N. Shastry, VC, Rashtriya Sanskrit Sansthan, discusses &quot;The Battle For Sanskrit&quot;"/>
    <x v="18"/>
    <m/>
    <m/>
    <n v="1400"/>
    <x v="298"/>
    <s v="1 year ago"/>
    <m/>
    <m/>
    <m/>
    <x v="3"/>
    <m/>
    <m/>
    <m/>
    <m/>
  </r>
  <r>
    <n v="312"/>
    <x v="1"/>
    <m/>
    <m/>
    <s v="https://www.youtube.com/watch?v=Iimv8qJijTE"/>
    <s v="Dr Kutumba Sastry, President, International Association of Sanskrit Studies"/>
    <x v="18"/>
    <m/>
    <m/>
    <n v="1400"/>
    <x v="299"/>
    <s v="1 year ago"/>
    <m/>
    <m/>
    <m/>
    <x v="3"/>
    <m/>
    <m/>
    <m/>
    <m/>
  </r>
  <r>
    <n v="313"/>
    <x v="1"/>
    <m/>
    <m/>
    <s v="https://www.youtube.com/watch?v=kpktr2ml8m8"/>
    <s v="Bibek Debroy on &quot;The Battle for Sanskrit&quot;"/>
    <x v="18"/>
    <m/>
    <m/>
    <n v="3500"/>
    <x v="300"/>
    <s v="1 year ago"/>
    <m/>
    <m/>
    <m/>
    <x v="3"/>
    <m/>
    <m/>
    <m/>
    <m/>
  </r>
  <r>
    <n v="314"/>
    <x v="1"/>
    <m/>
    <m/>
    <s v="https://www.youtube.com/watch?v=jB9efRnouaI"/>
    <s v="Rajiv Malhotra talk in Delhi Samskrita Bharati"/>
    <x v="18"/>
    <m/>
    <m/>
    <n v="2600"/>
    <x v="301"/>
    <s v="1 year ago"/>
    <m/>
    <m/>
    <m/>
    <x v="3"/>
    <m/>
    <m/>
    <m/>
    <m/>
  </r>
  <r>
    <n v="315"/>
    <x v="1"/>
    <m/>
    <m/>
    <s v="https://www.youtube.com/watch?v=r2uhf3x6oH8"/>
    <s v="Q&amp;A on The Battle For Sanskrit. Samskrita Bharati event in Delhi"/>
    <x v="18"/>
    <m/>
    <m/>
    <n v="2900"/>
    <x v="302"/>
    <s v="1 year ago"/>
    <m/>
    <m/>
    <m/>
    <x v="3"/>
    <m/>
    <m/>
    <m/>
    <m/>
  </r>
  <r>
    <n v="316"/>
    <x v="1"/>
    <m/>
    <m/>
    <s v="https://www.youtube.com/watch?v=G-AjF_4Jc1I"/>
    <s v="How to be an intellectual kshatriya, by Rajiv Malhotra"/>
    <x v="18"/>
    <m/>
    <m/>
    <n v="6000"/>
    <x v="303"/>
    <s v="1 year ago"/>
    <m/>
    <m/>
    <m/>
    <x v="3"/>
    <m/>
    <m/>
    <m/>
    <m/>
  </r>
  <r>
    <n v="317"/>
    <x v="1"/>
    <m/>
    <m/>
    <s v="https://www.youtube.com/watch?v=hbcWYVaowqI"/>
    <s v="Swami Harshananda (senior monk of RK Mission) blessings at Intellectual Kshatriya workshop"/>
    <x v="18"/>
    <m/>
    <m/>
    <n v="3000"/>
    <x v="304"/>
    <s v="1 year ago"/>
    <m/>
    <m/>
    <m/>
    <x v="3"/>
    <m/>
    <m/>
    <m/>
    <m/>
  </r>
  <r>
    <n v="318"/>
    <x v="1"/>
    <m/>
    <m/>
    <s v="https://www.youtube.com/watch?v=olQlPZuEWLY"/>
    <s v="Columbia University Talk &quot;Hinduphobia in Academia&quot;: Rajiv Malhotra"/>
    <x v="18"/>
    <m/>
    <m/>
    <n v="70000"/>
    <x v="305"/>
    <s v="1 year ago"/>
    <m/>
    <m/>
    <m/>
    <x v="3"/>
    <m/>
    <m/>
    <m/>
    <m/>
  </r>
  <r>
    <n v="319"/>
    <x v="1"/>
    <m/>
    <m/>
    <s v="https://www.youtube.com/watch?v=fwbLw9W9GC8"/>
    <s v="Rajiv Malhotra at MIT: The Force Awakens"/>
    <x v="18"/>
    <m/>
    <m/>
    <n v="28000"/>
    <x v="306"/>
    <s v="1 year ago"/>
    <m/>
    <m/>
    <m/>
    <x v="3"/>
    <m/>
    <m/>
    <m/>
    <m/>
  </r>
  <r>
    <n v="320"/>
    <x v="1"/>
    <m/>
    <m/>
    <s v="https://www.youtube.com/watch?v=XcIm7eWfJ_M"/>
    <s v="NewsX: Dr Subramanian Swamy's Endorsement for Rajiv Malhotra"/>
    <x v="18"/>
    <m/>
    <m/>
    <n v="1900"/>
    <x v="18"/>
    <s v="1 year ago"/>
    <m/>
    <m/>
    <m/>
    <x v="3"/>
    <m/>
    <m/>
    <m/>
    <m/>
  </r>
  <r>
    <n v="321"/>
    <x v="1"/>
    <m/>
    <m/>
    <s v="https://www.youtube.com/watch?v=tD7VxQAIPLM"/>
    <s v="Difference Between British Era Sepoys &amp; Today's Intellectual Sepoys"/>
    <x v="18"/>
    <m/>
    <m/>
    <n v="2100"/>
    <x v="307"/>
    <s v="1 year ago"/>
    <m/>
    <m/>
    <m/>
    <x v="3"/>
    <m/>
    <m/>
    <m/>
    <m/>
  </r>
  <r>
    <n v="322"/>
    <x v="1"/>
    <m/>
    <m/>
    <s v="https://www.youtube.com/watch?v=RaNpNJVvWDI"/>
    <s v="People like Devdutt Pattanaik Subvert Hinduism While Seeming to Help it"/>
    <x v="18"/>
    <m/>
    <m/>
    <n v="7600"/>
    <x v="43"/>
    <s v="1 year ago"/>
    <m/>
    <m/>
    <m/>
    <x v="3"/>
    <m/>
    <m/>
    <m/>
    <m/>
  </r>
  <r>
    <n v="323"/>
    <x v="1"/>
    <m/>
    <m/>
    <s v="https://www.youtube.com/watch?v=sdUuukDpj9s"/>
    <s v="History-Centrism &amp; Dharma vis a vis Religion: Rajiv Malhotra"/>
    <x v="18"/>
    <m/>
    <m/>
    <n v="944"/>
    <x v="308"/>
    <s v="1 year ago"/>
    <m/>
    <m/>
    <m/>
    <x v="3"/>
    <m/>
    <m/>
    <m/>
    <m/>
  </r>
  <r>
    <n v="324"/>
    <x v="1"/>
    <m/>
    <m/>
    <s v="https://www.youtube.com/watch?v=jQ47l4DT1BY"/>
    <s v="Rajiv Malhotra explains the difference between Intellectual Kshatriya and Emotional Kshatriya"/>
    <x v="18"/>
    <m/>
    <m/>
    <n v="545"/>
    <x v="309"/>
    <s v="1 year ago"/>
    <m/>
    <m/>
    <m/>
    <x v="3"/>
    <m/>
    <m/>
    <m/>
    <m/>
  </r>
  <r>
    <n v="325"/>
    <x v="1"/>
    <m/>
    <m/>
    <s v="https://www.youtube.com/watch?v=WkR5PD16sCg"/>
    <s v="Rajiv explains how Hindu values of tapas get distorted by naive Hindus selling out to US pop culture"/>
    <x v="18"/>
    <m/>
    <m/>
    <n v="626"/>
    <x v="219"/>
    <s v="1 year ago"/>
    <m/>
    <m/>
    <m/>
    <x v="3"/>
    <m/>
    <m/>
    <m/>
    <m/>
  </r>
  <r>
    <n v="326"/>
    <x v="1"/>
    <m/>
    <m/>
    <s v="https://www.youtube.com/watch?v=wXSD2PQznXI"/>
    <s v="Rajiv Malhotra explains what it takes to become an Intellectual Kshatriya"/>
    <x v="18"/>
    <m/>
    <m/>
    <n v="1500"/>
    <x v="310"/>
    <s v="1 year ago"/>
    <m/>
    <m/>
    <m/>
    <x v="3"/>
    <m/>
    <m/>
    <m/>
    <m/>
  </r>
  <r>
    <n v="327"/>
    <x v="1"/>
    <m/>
    <m/>
    <s v="https://www.youtube.com/watch?v=p4NkqPPh2fk"/>
    <s v="Rajiv Malhotra explains common misunderstanding of Maya among Hindus"/>
    <x v="18"/>
    <m/>
    <m/>
    <n v="1600"/>
    <x v="311"/>
    <s v="1 year ago"/>
    <m/>
    <m/>
    <m/>
    <x v="3"/>
    <m/>
    <m/>
    <m/>
    <m/>
  </r>
  <r>
    <n v="328"/>
    <x v="1"/>
    <m/>
    <m/>
    <s v="https://www.youtube.com/watch?v=7bZemcM70W0"/>
    <s v="Rajiv Malhotra on 'Analysis of the Kurukshetra'. Interviewed by Vijaya Vishwanathan"/>
    <x v="18"/>
    <m/>
    <m/>
    <n v="16000"/>
    <x v="312"/>
    <s v="1 year ago"/>
    <m/>
    <m/>
    <m/>
    <x v="3"/>
    <m/>
    <m/>
    <m/>
    <m/>
  </r>
  <r>
    <n v="329"/>
    <x v="1"/>
    <m/>
    <m/>
    <s v="https://www.youtube.com/watch?v=GpEk4HU0r2Y"/>
    <s v="Wendy Doniger's Erotic Psychoanalysis Theory Has Not Been Countered: Rajiv Malhotra #1"/>
    <x v="18"/>
    <m/>
    <m/>
    <n v="1500"/>
    <x v="313"/>
    <s v="1 year ago"/>
    <m/>
    <m/>
    <m/>
    <x v="3"/>
    <m/>
    <m/>
    <m/>
    <m/>
  </r>
  <r>
    <n v="330"/>
    <x v="1"/>
    <m/>
    <m/>
    <s v="https://www.youtube.com/watch?v=322EiuTqg7w"/>
    <s v="When Devdutt Pattanaik Reduces Indian Itihas to Myth, it is Freud's Ideas he is propagating #2"/>
    <x v="18"/>
    <m/>
    <m/>
    <n v="1200"/>
    <x v="314"/>
    <s v="1 year ago"/>
    <m/>
    <m/>
    <m/>
    <x v="3"/>
    <m/>
    <m/>
    <m/>
    <m/>
  </r>
  <r>
    <n v="331"/>
    <x v="1"/>
    <m/>
    <m/>
    <s v="https://www.youtube.com/watch?v=liKAbE7beNI"/>
    <s v="Rajiv Malhotra &amp; Dr Swamy talk on Christian Missionaries Religion Conversion Tactics"/>
    <x v="18"/>
    <m/>
    <m/>
    <n v="9300"/>
    <x v="315"/>
    <s v="1 year ago"/>
    <m/>
    <m/>
    <m/>
    <x v="3"/>
    <m/>
    <m/>
    <m/>
    <m/>
  </r>
  <r>
    <n v="332"/>
    <x v="1"/>
    <m/>
    <m/>
    <s v="https://www.youtube.com/watch?v=3eTjsY7w5kM"/>
    <s v="4 Rajiv Malhotra: Dealing with Dharma transforms even the most rooted Abrahamic"/>
    <x v="18"/>
    <m/>
    <m/>
    <n v="265"/>
    <x v="198"/>
    <s v="1 year ago"/>
    <m/>
    <m/>
    <m/>
    <x v="3"/>
    <m/>
    <m/>
    <m/>
    <m/>
  </r>
  <r>
    <n v="333"/>
    <x v="1"/>
    <m/>
    <m/>
    <s v="https://www.youtube.com/watch?v=afXofZLlzB4"/>
    <s v="5 Are today's Pandavas sitting in the VIP lounge watching the action on the battlefield with binocu"/>
    <x v="18"/>
    <m/>
    <m/>
    <n v="238"/>
    <x v="316"/>
    <s v="1 year ago"/>
    <m/>
    <m/>
    <m/>
    <x v="3"/>
    <m/>
    <m/>
    <m/>
    <m/>
  </r>
  <r>
    <n v="334"/>
    <x v="1"/>
    <m/>
    <m/>
    <s v="https://www.youtube.com/watch?v=gtDa8NLyc74"/>
    <s v="3 Rajiv Malhotra explains the five types of people in the kurukshetra and analysis of each"/>
    <x v="18"/>
    <m/>
    <m/>
    <n v="585"/>
    <x v="317"/>
    <s v="1 year ago"/>
    <m/>
    <m/>
    <m/>
    <x v="3"/>
    <m/>
    <m/>
    <m/>
    <m/>
  </r>
  <r>
    <n v="335"/>
    <x v="1"/>
    <m/>
    <m/>
    <s v="https://www.youtube.com/watch?v=zgOMSgegwGk"/>
    <s v="&quot;Where are the Pandavas?&quot; Rajiv Malhotra interviewed by Vijaya Vishwanathan"/>
    <x v="18"/>
    <m/>
    <m/>
    <n v="8800"/>
    <x v="318"/>
    <s v="1 year ago"/>
    <m/>
    <m/>
    <m/>
    <x v="3"/>
    <m/>
    <m/>
    <m/>
    <m/>
  </r>
  <r>
    <n v="336"/>
    <x v="1"/>
    <m/>
    <m/>
    <s v="https://www.youtube.com/watch?v=Xk3tQcQ1QcQ"/>
    <s v="Rajiv Malhotra on NDTV's We the People_Debate on Foreign NGOs #1"/>
    <x v="18"/>
    <m/>
    <m/>
    <n v="2200"/>
    <x v="197"/>
    <s v="1 year ago"/>
    <m/>
    <m/>
    <m/>
    <x v="3"/>
    <m/>
    <m/>
    <m/>
    <m/>
  </r>
  <r>
    <n v="337"/>
    <x v="1"/>
    <m/>
    <m/>
    <s v="https://www.youtube.com/watch?v=MP4mGKSR2-0"/>
    <s v="KUPPUSWAMI SASTRI RESEARCH INSTITUTE (KSRI), Chennai, hosts Distinguished Lecture by Rajiv Malhotra"/>
    <x v="18"/>
    <m/>
    <m/>
    <n v="3300"/>
    <x v="319"/>
    <s v="1 year ago"/>
    <m/>
    <m/>
    <m/>
    <x v="3"/>
    <m/>
    <m/>
    <m/>
    <m/>
  </r>
  <r>
    <n v="338"/>
    <x v="1"/>
    <m/>
    <m/>
    <s v="https://www.youtube.com/watch?v=55sjF1l4Hu0"/>
    <s v="Role of Hindu Temples: Rajiv Malhotra"/>
    <x v="18"/>
    <m/>
    <m/>
    <n v="828"/>
    <x v="320"/>
    <s v="1 year ago"/>
    <m/>
    <m/>
    <m/>
    <x v="3"/>
    <m/>
    <m/>
    <m/>
    <m/>
  </r>
  <r>
    <n v="339"/>
    <x v="1"/>
    <m/>
    <m/>
    <s v="https://www.youtube.com/watch?v=LkTTH9gGQwA"/>
    <s v="Rajiv Malhotra Motivates JNU Students to Speak Up Against Biased Professors #16"/>
    <x v="18"/>
    <m/>
    <m/>
    <n v="1200"/>
    <x v="321"/>
    <s v="1 year ago"/>
    <m/>
    <m/>
    <m/>
    <x v="3"/>
    <m/>
    <m/>
    <m/>
    <m/>
  </r>
  <r>
    <n v="340"/>
    <x v="1"/>
    <m/>
    <m/>
    <s v="https://www.youtube.com/watch?v=cuauchPBFCY"/>
    <s v="N. Gopalaswami, former Chief Election Commissioner of India, and Rajiv Malhotra discuss TBFS"/>
    <x v="18"/>
    <m/>
    <m/>
    <n v="3700"/>
    <x v="322"/>
    <s v="1 year ago"/>
    <m/>
    <m/>
    <m/>
    <x v="3"/>
    <m/>
    <m/>
    <m/>
    <m/>
  </r>
  <r>
    <n v="341"/>
    <x v="1"/>
    <m/>
    <m/>
    <s v="https://www.youtube.com/watch?v=oeJfmsvMRBs"/>
    <s v="The Attack on Kumbh Mela - Rajiv Malhotra Series on &quot;Facebook LIVE&quot; Part 1"/>
    <x v="18"/>
    <m/>
    <m/>
    <n v="6800"/>
    <x v="323"/>
    <s v="1 year ago"/>
    <m/>
    <m/>
    <m/>
    <x v="3"/>
    <m/>
    <m/>
    <m/>
    <m/>
  </r>
  <r>
    <n v="342"/>
    <x v="1"/>
    <m/>
    <m/>
    <s v="https://www.youtube.com/watch?v=vEdOCEkdY9Q"/>
    <s v="Indian Comfort With What is Termed as Chaos: Rajiv Malhotra #1"/>
    <x v="18"/>
    <m/>
    <m/>
    <n v="1200"/>
    <x v="324"/>
    <s v="1 year ago"/>
    <m/>
    <m/>
    <m/>
    <x v="3"/>
    <m/>
    <m/>
    <m/>
    <m/>
  </r>
  <r>
    <n v="343"/>
    <x v="1"/>
    <m/>
    <m/>
    <s v="https://www.youtube.com/watch?v=Cv8kec-TugY"/>
    <s v="Islamic destruction of temples can't be compared to local rivalries causing destruction #17"/>
    <x v="18"/>
    <m/>
    <m/>
    <n v="1200"/>
    <x v="325"/>
    <s v="1 year ago"/>
    <m/>
    <m/>
    <m/>
    <x v="3"/>
    <m/>
    <m/>
    <m/>
    <m/>
  </r>
  <r>
    <n v="344"/>
    <x v="1"/>
    <m/>
    <m/>
    <s v="https://www.youtube.com/watch?v=Uk3mD3cAFXg"/>
    <s v="How YOU can help in the Kurukshetra &amp; Increase our Impact: Rajiv Malhotra"/>
    <x v="18"/>
    <m/>
    <m/>
    <n v="231"/>
    <x v="326"/>
    <s v="1 year ago"/>
    <m/>
    <m/>
    <m/>
    <x v="3"/>
    <m/>
    <m/>
    <m/>
    <m/>
  </r>
  <r>
    <n v="345"/>
    <x v="1"/>
    <m/>
    <m/>
    <s v="https://www.youtube.com/watch?v=spEEA-o1zlE"/>
    <s v="Rajiv Malhotra Explains the History of Indian Science &amp; Technology Volumes"/>
    <x v="18"/>
    <m/>
    <m/>
    <n v="666"/>
    <x v="327"/>
    <s v="1 year ago"/>
    <m/>
    <m/>
    <m/>
    <x v="3"/>
    <m/>
    <m/>
    <m/>
    <m/>
  </r>
  <r>
    <n v="346"/>
    <x v="1"/>
    <m/>
    <m/>
    <s v="https://www.youtube.com/watch?v=7cA62ZHlWx0"/>
    <s v="Rajiv Malhotra: When diversity is turned into vote bank, unity suffers #6"/>
    <x v="18"/>
    <m/>
    <m/>
    <n v="191"/>
    <x v="328"/>
    <s v="1 year ago"/>
    <m/>
    <m/>
    <m/>
    <x v="3"/>
    <m/>
    <m/>
    <m/>
    <m/>
  </r>
  <r>
    <n v="347"/>
    <x v="1"/>
    <m/>
    <m/>
    <s v="https://www.youtube.com/watch?v=M8Xez56Bg9c"/>
    <s v="Smritis are not frozen, need to be changed according to time &amp; context: Rajiv Malhotra #7"/>
    <x v="18"/>
    <m/>
    <m/>
    <n v="870"/>
    <x v="329"/>
    <s v="1 year ago"/>
    <m/>
    <m/>
    <m/>
    <x v="3"/>
    <m/>
    <m/>
    <m/>
    <m/>
  </r>
  <r>
    <n v="348"/>
    <x v="1"/>
    <m/>
    <m/>
    <s v="https://www.youtube.com/watch?v=5U64D5B9-O0"/>
    <s v="Rajiv Malhotra: #1 How Hindu Open Architecture is the Bedrock of Indian Identity"/>
    <x v="18"/>
    <m/>
    <m/>
    <n v="527"/>
    <x v="330"/>
    <s v="1 year ago"/>
    <m/>
    <m/>
    <m/>
    <x v="3"/>
    <m/>
    <m/>
    <m/>
    <m/>
  </r>
  <r>
    <n v="349"/>
    <x v="1"/>
    <m/>
    <m/>
    <s v="https://www.youtube.com/watch?v=fKsfq4rFzbA"/>
    <s v="How Hindu Inferiority Complex Blocks Development of Indian Grand Narrative #2"/>
    <x v="18"/>
    <m/>
    <m/>
    <n v="1000"/>
    <x v="331"/>
    <s v="1 year ago"/>
    <m/>
    <m/>
    <m/>
    <x v="3"/>
    <m/>
    <m/>
    <m/>
    <m/>
  </r>
  <r>
    <n v="350"/>
    <x v="1"/>
    <m/>
    <m/>
    <s v="https://www.youtube.com/watch?v=zKr-cYKprD8"/>
    <s v="Rajiv Malhotra: Apathy, Ignorance, Laziness of Indians regarding their Civilization"/>
    <x v="18"/>
    <m/>
    <m/>
    <n v="368"/>
    <x v="332"/>
    <s v="1 year ago"/>
    <m/>
    <m/>
    <m/>
    <x v="3"/>
    <m/>
    <m/>
    <m/>
    <m/>
  </r>
  <r>
    <n v="351"/>
    <x v="1"/>
    <m/>
    <m/>
    <s v="https://www.youtube.com/watch?v=YHee5lF9yPc"/>
    <s v="When Muslims &amp; Christians are More Equal than Hindus: Rajiv Malhotra #3"/>
    <x v="18"/>
    <m/>
    <m/>
    <n v="1300"/>
    <x v="333"/>
    <s v="1 year ago"/>
    <m/>
    <m/>
    <m/>
    <x v="3"/>
    <m/>
    <m/>
    <m/>
    <m/>
  </r>
  <r>
    <n v="352"/>
    <x v="1"/>
    <m/>
    <m/>
    <s v="https://www.youtube.com/watch?v=8xbYHg11ROo"/>
    <s v="Rajiv Malhotra: #4 Caste Based Reservations Act as Vote Bank"/>
    <x v="18"/>
    <m/>
    <m/>
    <n v="207"/>
    <x v="334"/>
    <s v="1 year ago"/>
    <m/>
    <m/>
    <m/>
    <x v="3"/>
    <m/>
    <m/>
    <m/>
    <m/>
  </r>
  <r>
    <n v="353"/>
    <x v="1"/>
    <m/>
    <m/>
    <s v="https://www.youtube.com/watch?v=yp1ZVELrxIA"/>
    <s v="Rajiv Malhotra: #5 Funding Swadeshi Scholarship for Swadeshi Viewpoint"/>
    <x v="18"/>
    <m/>
    <m/>
    <n v="177"/>
    <x v="335"/>
    <s v="1 year ago"/>
    <m/>
    <m/>
    <m/>
    <x v="3"/>
    <m/>
    <m/>
    <m/>
    <m/>
  </r>
  <r>
    <n v="354"/>
    <x v="1"/>
    <m/>
    <m/>
    <s v="https://www.youtube.com/watch?v=JkoZriLo3fA"/>
    <s v="If All Religions Are The Same Then Why Remain Hindu: Rajiv Malhotra"/>
    <x v="18"/>
    <m/>
    <m/>
    <n v="3000"/>
    <x v="336"/>
    <s v="1 year ago"/>
    <m/>
    <m/>
    <m/>
    <x v="3"/>
    <m/>
    <m/>
    <m/>
    <m/>
  </r>
  <r>
    <n v="355"/>
    <x v="1"/>
    <m/>
    <m/>
    <s v="https://www.youtube.com/watch?v=hPD7CW4JiSA"/>
    <s v="Rajiv Malhotra: Caste Cow Curry Joke in India #7"/>
    <x v="18"/>
    <m/>
    <m/>
    <n v="1900"/>
    <x v="337"/>
    <s v="1 year ago"/>
    <m/>
    <m/>
    <m/>
    <x v="3"/>
    <m/>
    <m/>
    <m/>
    <m/>
  </r>
  <r>
    <n v="356"/>
    <x v="1"/>
    <m/>
    <m/>
    <s v="https://www.youtube.com/watch?v=wKE7d6nLsDM"/>
    <s v="How Christianity Inc is the Largest MNC in the World: Rajiv Malhotra #1"/>
    <x v="18"/>
    <m/>
    <m/>
    <n v="549"/>
    <x v="338"/>
    <s v="1 year ago"/>
    <m/>
    <m/>
    <m/>
    <x v="3"/>
    <m/>
    <m/>
    <m/>
    <m/>
  </r>
  <r>
    <n v="357"/>
    <x v="1"/>
    <m/>
    <m/>
    <s v="https://www.youtube.com/watch?v=dlQfycnk550"/>
    <s v="Christianity Needs Major Reform: Rajiv Malhotra #2"/>
    <x v="18"/>
    <m/>
    <m/>
    <n v="632"/>
    <x v="339"/>
    <s v="1 year ago"/>
    <m/>
    <m/>
    <m/>
    <x v="3"/>
    <m/>
    <m/>
    <m/>
    <m/>
  </r>
  <r>
    <n v="358"/>
    <x v="1"/>
    <m/>
    <m/>
    <s v="https://www.youtube.com/watch?v=dgXtHzSngX0"/>
    <s v="The False &quot;Aryan Dravidian&quot; Divide is Part of Official Govt Discourse on India: Rajiv Malhotra"/>
    <x v="18"/>
    <m/>
    <m/>
    <n v="656"/>
    <x v="340"/>
    <s v="1 year ago"/>
    <m/>
    <m/>
    <m/>
    <x v="3"/>
    <m/>
    <m/>
    <m/>
    <m/>
  </r>
  <r>
    <n v="359"/>
    <x v="1"/>
    <m/>
    <m/>
    <s v="https://www.youtube.com/watch?v=Xml5nVm8bg0"/>
    <s v="DIGESTION of Hindusim into Christianity: Rajiv Malhotra #7"/>
    <x v="18"/>
    <m/>
    <m/>
    <n v="1200"/>
    <x v="152"/>
    <s v="11 months ago"/>
    <m/>
    <m/>
    <m/>
    <x v="3"/>
    <m/>
    <m/>
    <m/>
    <m/>
  </r>
  <r>
    <n v="360"/>
    <x v="1"/>
    <m/>
    <m/>
    <s v="https://www.youtube.com/watch?v=I6Nwopg3FIw"/>
    <s v="Rajiv Malhotra: Sanskrit Protects Dharma From Digestion"/>
    <x v="18"/>
    <m/>
    <m/>
    <n v="1300"/>
    <x v="333"/>
    <s v="1 year ago"/>
    <m/>
    <m/>
    <m/>
    <x v="3"/>
    <m/>
    <m/>
    <m/>
    <m/>
  </r>
  <r>
    <n v="361"/>
    <x v="1"/>
    <m/>
    <m/>
    <s v="https://www.youtube.com/watch?v=QT3p6iGNrkU"/>
    <s v="The Attack on Kumbh Mela - Rajiv Malhotra Series on &quot;Facebook LIVE&quot; Part 2"/>
    <x v="18"/>
    <m/>
    <m/>
    <n v="3800"/>
    <x v="341"/>
    <s v="1 year ago"/>
    <m/>
    <m/>
    <m/>
    <x v="3"/>
    <m/>
    <m/>
    <m/>
    <m/>
  </r>
  <r>
    <n v="362"/>
    <x v="1"/>
    <m/>
    <m/>
    <s v="https://www.youtube.com/watch?v=DYtc95s7Kpc"/>
    <s v="Response to Young Law Student &amp; Human Rights Activist #2"/>
    <x v="18"/>
    <m/>
    <m/>
    <n v="9200"/>
    <x v="342"/>
    <s v="1 year ago"/>
    <m/>
    <m/>
    <m/>
    <x v="3"/>
    <m/>
    <m/>
    <m/>
    <m/>
  </r>
  <r>
    <n v="363"/>
    <x v="1"/>
    <m/>
    <m/>
    <s v="https://www.youtube.com/watch?v=Lg0JLlBHCgA"/>
    <s v="Rajiv Malhotra responds: Why do we need others legitimacy if we are 1/6th of the world"/>
    <x v="18"/>
    <m/>
    <m/>
    <n v="1600"/>
    <x v="343"/>
    <s v="1 year ago"/>
    <m/>
    <m/>
    <m/>
    <x v="3"/>
    <m/>
    <m/>
    <m/>
    <m/>
  </r>
  <r>
    <n v="364"/>
    <x v="1"/>
    <m/>
    <m/>
    <s v="https://www.youtube.com/watch?v=ZpdQsUkjwMc"/>
    <s v="The Attack on Kumbh Mela - Rajiv Malhotra Series on &quot;Facebook LIVE&quot; Part 3"/>
    <x v="18"/>
    <m/>
    <m/>
    <n v="2700"/>
    <x v="344"/>
    <s v="1 year ago"/>
    <m/>
    <m/>
    <m/>
    <x v="3"/>
    <m/>
    <m/>
    <m/>
    <m/>
  </r>
  <r>
    <n v="365"/>
    <x v="1"/>
    <m/>
    <m/>
    <s v="https://www.youtube.com/watch?v=xA9TKhOjY24"/>
    <s v="Rajiv Malhotra Discusses the Idea of India &amp; Indian Identity"/>
    <x v="18"/>
    <m/>
    <m/>
    <n v="768"/>
    <x v="345"/>
    <s v="1 year ago"/>
    <m/>
    <m/>
    <m/>
    <x v="3"/>
    <m/>
    <m/>
    <m/>
    <m/>
  </r>
  <r>
    <n v="366"/>
    <x v="1"/>
    <m/>
    <m/>
    <s v="https://www.youtube.com/watch?v=w2e5eqI49cE"/>
    <s v="Rajiv Malhotra: Difference Between Tolerance and Mutual Respect #4"/>
    <x v="18"/>
    <m/>
    <m/>
    <n v="925"/>
    <x v="32"/>
    <s v="1 year ago"/>
    <m/>
    <m/>
    <m/>
    <x v="3"/>
    <m/>
    <m/>
    <m/>
    <m/>
  </r>
  <r>
    <n v="367"/>
    <x v="1"/>
    <m/>
    <m/>
    <s v="https://www.youtube.com/watch?v=qY5oQOirve4"/>
    <s v="JNU student questions John Dayal and leaves him Dumbstruck!"/>
    <x v="18"/>
    <m/>
    <m/>
    <n v="12000"/>
    <x v="346"/>
    <s v="1 year ago"/>
    <m/>
    <m/>
    <m/>
    <x v="3"/>
    <m/>
    <m/>
    <m/>
    <m/>
  </r>
  <r>
    <n v="368"/>
    <x v="1"/>
    <m/>
    <m/>
    <s v="https://www.youtube.com/watch?v=yMRw4TF7CAk"/>
    <s v="Rajiv Malhotra's Rejoinder to Kancha Ilaiah's Breaking India Activities"/>
    <x v="18"/>
    <m/>
    <m/>
    <n v="13000"/>
    <x v="347"/>
    <s v="1 year ago"/>
    <m/>
    <m/>
    <m/>
    <x v="3"/>
    <m/>
    <m/>
    <m/>
    <m/>
  </r>
  <r>
    <n v="369"/>
    <x v="1"/>
    <m/>
    <m/>
    <s v="https://www.youtube.com/watch?v=XCXsh2mfb3M"/>
    <s v="Kumbh Mela 3.7: What should Indian Govt &amp; Leaders do to Save The Kumbh Mela"/>
    <x v="18"/>
    <m/>
    <m/>
    <n v="193"/>
    <x v="348"/>
    <s v="1 year ago"/>
    <m/>
    <m/>
    <m/>
    <x v="3"/>
    <m/>
    <m/>
    <m/>
    <m/>
  </r>
  <r>
    <n v="370"/>
    <x v="1"/>
    <m/>
    <m/>
    <s v="https://www.youtube.com/watch?v=sTYcLqa56Z4"/>
    <s v="Kumbh Mela 3.1: Rajiv responds to Viewers Questions about Akhadas"/>
    <x v="18"/>
    <m/>
    <m/>
    <n v="219"/>
    <x v="349"/>
    <s v="1 year ago"/>
    <m/>
    <m/>
    <m/>
    <x v="3"/>
    <m/>
    <m/>
    <m/>
    <m/>
  </r>
  <r>
    <n v="371"/>
    <x v="1"/>
    <m/>
    <m/>
    <s v="https://www.youtube.com/watch?v=VxI-y4zU4YE"/>
    <s v="Kumbh Mela 3.6: What can the Youth do to Save Kumbh Mela"/>
    <x v="18"/>
    <m/>
    <m/>
    <n v="413"/>
    <x v="11"/>
    <s v="1 year ago"/>
    <m/>
    <m/>
    <m/>
    <x v="3"/>
    <m/>
    <m/>
    <m/>
    <m/>
  </r>
  <r>
    <n v="372"/>
    <x v="1"/>
    <m/>
    <m/>
    <s v="https://www.youtube.com/watch?v=kKbQvD24QPY"/>
    <s v="Kumbh Mela 3.5: HRD Ministry should give a report on state of Indology"/>
    <x v="18"/>
    <m/>
    <m/>
    <n v="126"/>
    <x v="350"/>
    <s v="1 year ago"/>
    <m/>
    <m/>
    <m/>
    <x v="3"/>
    <m/>
    <m/>
    <m/>
    <m/>
  </r>
  <r>
    <n v="373"/>
    <x v="1"/>
    <m/>
    <m/>
    <s v="https://www.youtube.com/watch?v=A6j1KcojG0E"/>
    <s v="Attack on Kumbh Mela 3.4: Rajiv Malhotra explains Ideological fight with Seculars"/>
    <x v="18"/>
    <m/>
    <m/>
    <n v="154"/>
    <x v="6"/>
    <s v="1 year ago"/>
    <m/>
    <m/>
    <m/>
    <x v="3"/>
    <m/>
    <m/>
    <m/>
    <m/>
  </r>
  <r>
    <n v="374"/>
    <x v="1"/>
    <m/>
    <m/>
    <s v="https://www.youtube.com/watch?v=wzPkggokfLg"/>
    <s v="Kumbh Mela 3.3: Is Any Legal Action Possible to Restrict Entry to the Kumbh Mela"/>
    <x v="18"/>
    <m/>
    <m/>
    <n v="119"/>
    <x v="351"/>
    <s v="1 year ago"/>
    <m/>
    <m/>
    <m/>
    <x v="3"/>
    <m/>
    <m/>
    <m/>
    <m/>
  </r>
  <r>
    <n v="375"/>
    <x v="1"/>
    <m/>
    <m/>
    <s v="https://www.youtube.com/watch?v=dJ9wpyiJSSI"/>
    <s v="Kumbh Mela 3.2: Rajiv Malhotra responds — Do We Need Bad Cops"/>
    <x v="18"/>
    <m/>
    <m/>
    <n v="241"/>
    <x v="352"/>
    <s v="1 year ago"/>
    <m/>
    <m/>
    <m/>
    <x v="3"/>
    <m/>
    <m/>
    <m/>
    <m/>
  </r>
  <r>
    <n v="376"/>
    <x v="1"/>
    <m/>
    <m/>
    <s v="https://www.youtube.com/watch?v=0DBc4TKwgDc"/>
    <s v="MSNBC: Rajiv Malhotra discusses &quot;Who is Bobby Jindal, really&quot; Feb 2013"/>
    <x v="18"/>
    <m/>
    <m/>
    <n v="13000"/>
    <x v="353"/>
    <s v="1 year ago"/>
    <m/>
    <m/>
    <m/>
    <x v="3"/>
    <m/>
    <m/>
    <m/>
    <m/>
  </r>
  <r>
    <n v="377"/>
    <x v="1"/>
    <m/>
    <m/>
    <s v="https://www.youtube.com/watch?v=AjEKOFHh4yM"/>
    <s v="Rajiv Malhotra on MSNBC: A Different Kind of Black-Brown Coalition"/>
    <x v="18"/>
    <m/>
    <m/>
    <n v="20000"/>
    <x v="354"/>
    <s v="1 year ago"/>
    <m/>
    <m/>
    <m/>
    <x v="3"/>
    <m/>
    <m/>
    <m/>
    <m/>
  </r>
  <r>
    <n v="378"/>
    <x v="1"/>
    <m/>
    <m/>
    <s v="https://www.youtube.com/watch?v=FQmwAFcJSpw"/>
    <s v="From William Jones to Pollock, Discourse on India Continues to be Dictated by the West_MIT 9"/>
    <x v="18"/>
    <m/>
    <m/>
    <n v="844"/>
    <x v="355"/>
    <s v="1 year ago"/>
    <m/>
    <m/>
    <m/>
    <x v="3"/>
    <m/>
    <m/>
    <m/>
    <m/>
  </r>
  <r>
    <n v="379"/>
    <x v="1"/>
    <m/>
    <m/>
    <s v="https://www.youtube.com/watch?v=Kg7UNGe9lik"/>
    <s v="Theory of 'Aesthetization of Power' used by Sheldon Pollock_MIT 10"/>
    <x v="18"/>
    <m/>
    <m/>
    <n v="904"/>
    <x v="356"/>
    <s v="1 year ago"/>
    <m/>
    <m/>
    <m/>
    <x v="3"/>
    <m/>
    <m/>
    <m/>
    <m/>
  </r>
  <r>
    <n v="380"/>
    <x v="1"/>
    <m/>
    <m/>
    <s v="https://www.youtube.com/watch?v=_OTzuNIDOOA"/>
    <s v="Currently, GOI funded Religion Studies might not be in Dharma's Interest_MIT 11"/>
    <x v="18"/>
    <m/>
    <m/>
    <n v="384"/>
    <x v="236"/>
    <s v="1 year ago"/>
    <m/>
    <m/>
    <m/>
    <x v="3"/>
    <m/>
    <m/>
    <m/>
    <m/>
  </r>
  <r>
    <n v="381"/>
    <x v="1"/>
    <m/>
    <m/>
    <s v="https://www.youtube.com/watch?v=VJZ4LARPMJU&amp;t=79s"/>
    <s v="How Germans Distorted Hindu Ideas Which Led to Nazism: Rajiv Malhotra #12"/>
    <x v="18"/>
    <m/>
    <m/>
    <n v="43000"/>
    <x v="357"/>
    <s v="1 year ago"/>
    <m/>
    <m/>
    <m/>
    <x v="3"/>
    <m/>
    <m/>
    <m/>
    <m/>
  </r>
  <r>
    <n v="382"/>
    <x v="1"/>
    <m/>
    <m/>
    <s v="https://www.youtube.com/watch?v=V-N1KdB7QTg"/>
    <s v="Fb LIVE 5: Kutumba Sastry, President Intl Asso Sanskrit Studies — Interviewed by Rajiv Malhotra"/>
    <x v="18"/>
    <m/>
    <m/>
    <n v="1300"/>
    <x v="358"/>
    <s v="1 year ago"/>
    <m/>
    <m/>
    <m/>
    <x v="3"/>
    <m/>
    <m/>
    <m/>
    <m/>
  </r>
  <r>
    <n v="383"/>
    <x v="1"/>
    <m/>
    <m/>
    <s v="https://www.youtube.com/watch?v=4fTC0cZiBus"/>
    <s v="Rajiv Malhotra talks about The Indus Saraswati Civilization"/>
    <x v="18"/>
    <m/>
    <m/>
    <n v="1100"/>
    <x v="198"/>
    <s v="1 year ago"/>
    <m/>
    <m/>
    <m/>
    <x v="3"/>
    <m/>
    <m/>
    <m/>
    <m/>
  </r>
  <r>
    <n v="384"/>
    <x v="1"/>
    <m/>
    <m/>
    <s v="https://www.youtube.com/watch?v=G1vj3YNYQYg"/>
    <s v="Rajiv Malhotra MIT 7: The Sold Out Insiders"/>
    <x v="18"/>
    <m/>
    <m/>
    <n v="947"/>
    <x v="359"/>
    <s v="1 year ago"/>
    <m/>
    <m/>
    <m/>
    <x v="3"/>
    <m/>
    <m/>
    <m/>
    <m/>
  </r>
  <r>
    <n v="385"/>
    <x v="1"/>
    <m/>
    <m/>
    <s v="https://www.youtube.com/watch?v=Ly_KKukp01g"/>
    <s v="Rajiv Malhotra: Control of our tradition has shifted into the hands of 'outsiders'."/>
    <x v="18"/>
    <m/>
    <m/>
    <n v="405"/>
    <x v="360"/>
    <s v="1 year ago"/>
    <m/>
    <m/>
    <m/>
    <x v="3"/>
    <m/>
    <m/>
    <m/>
    <m/>
  </r>
  <r>
    <n v="386"/>
    <x v="1"/>
    <m/>
    <m/>
    <s v="https://www.youtube.com/watch?v=yB7P6V4_zUw"/>
    <s v="Rajiv Malhotra in conversation with Indian industrialists: 'Who represents Hinduism?'"/>
    <x v="18"/>
    <m/>
    <m/>
    <n v="365"/>
    <x v="361"/>
    <s v="1 year ago"/>
    <m/>
    <m/>
    <m/>
    <x v="3"/>
    <m/>
    <m/>
    <m/>
    <m/>
  </r>
  <r>
    <n v="387"/>
    <x v="1"/>
    <m/>
    <m/>
    <s v="https://www.youtube.com/watch?v=xjoBDX3u1Ys"/>
    <s v="Rajiv Malhotra MIT 3: Multiple 'Outsider' views on Hindusim &amp; Birth of American Indology"/>
    <x v="18"/>
    <m/>
    <m/>
    <n v="728"/>
    <x v="362"/>
    <s v="1 year ago"/>
    <m/>
    <m/>
    <m/>
    <x v="3"/>
    <m/>
    <m/>
    <m/>
    <m/>
  </r>
  <r>
    <n v="388"/>
    <x v="1"/>
    <m/>
    <m/>
    <s v="https://www.youtube.com/watch?v=hFK3wIxZt3g"/>
    <s v="How India Should Manage US Think Tanks, Universities, Seminaries"/>
    <x v="18"/>
    <m/>
    <m/>
    <n v="3700"/>
    <x v="363"/>
    <s v="1 year ago"/>
    <m/>
    <m/>
    <m/>
    <x v="3"/>
    <m/>
    <m/>
    <m/>
    <m/>
  </r>
  <r>
    <n v="389"/>
    <x v="1"/>
    <m/>
    <m/>
    <s v="https://www.youtube.com/watch?v=gL_j5YKKN38"/>
    <s v="Rajiv Malhotra: Battling the Secularization of Indian Fine Arts"/>
    <x v="18"/>
    <m/>
    <m/>
    <n v="634"/>
    <x v="245"/>
    <s v="1 year ago"/>
    <m/>
    <m/>
    <m/>
    <x v="3"/>
    <m/>
    <m/>
    <m/>
    <m/>
  </r>
  <r>
    <n v="390"/>
    <x v="1"/>
    <m/>
    <m/>
    <s v="https://www.youtube.com/watch?v=J2klGHwzFFo"/>
    <s v="MIT 6: White Liberal American Woman Profile according to Marketing Co’s"/>
    <x v="18"/>
    <m/>
    <m/>
    <n v="387"/>
    <x v="364"/>
    <s v="1 year ago"/>
    <m/>
    <m/>
    <m/>
    <x v="3"/>
    <m/>
    <m/>
    <m/>
    <m/>
  </r>
  <r>
    <n v="391"/>
    <x v="1"/>
    <m/>
    <m/>
    <s v="https://www.youtube.com/watch?v=ebsBucPcYoU"/>
    <s v="Rajiv Malhotra MIT 1: The Need for Insider Perspective on Hinduism"/>
    <x v="18"/>
    <m/>
    <m/>
    <n v="319"/>
    <x v="365"/>
    <s v="1 year ago"/>
    <m/>
    <m/>
    <m/>
    <x v="3"/>
    <m/>
    <m/>
    <m/>
    <m/>
  </r>
  <r>
    <n v="392"/>
    <x v="1"/>
    <m/>
    <m/>
    <s v="https://www.youtube.com/watch?v=orOA4dPxE98"/>
    <s v="No one has attempted a Purvapaksha of Sheldon Pollock_MIT 2"/>
    <x v="18"/>
    <m/>
    <m/>
    <n v="282"/>
    <x v="366"/>
    <s v="1 year ago"/>
    <m/>
    <m/>
    <m/>
    <x v="3"/>
    <m/>
    <m/>
    <m/>
    <m/>
  </r>
  <r>
    <n v="393"/>
    <x v="1"/>
    <m/>
    <m/>
    <s v="https://www.youtube.com/watch?v=go47jpA5M1A"/>
    <s v="How Hindus Have Lost The Ownership of Hinduism Studies #4"/>
    <x v="18"/>
    <m/>
    <m/>
    <n v="1000"/>
    <x v="367"/>
    <s v="1 year ago"/>
    <m/>
    <m/>
    <m/>
    <x v="3"/>
    <m/>
    <m/>
    <m/>
    <m/>
  </r>
  <r>
    <n v="394"/>
    <x v="1"/>
    <m/>
    <m/>
    <s v="https://www.youtube.com/watch?v=dlfE6JbvIYI"/>
    <s v="How China Hits Back at Western Critics: MIT #13"/>
    <x v="18"/>
    <m/>
    <m/>
    <n v="790"/>
    <x v="368"/>
    <s v="1 year ago"/>
    <m/>
    <m/>
    <m/>
    <x v="3"/>
    <m/>
    <m/>
    <m/>
    <m/>
  </r>
  <r>
    <n v="395"/>
    <x v="1"/>
    <m/>
    <m/>
    <s v="https://www.youtube.com/watch?v=1VZl4rtt2aU"/>
    <s v="Ivy Leagues Control Indological Studies Research: Rajiv Malhotra"/>
    <x v="18"/>
    <m/>
    <m/>
    <n v="270"/>
    <x v="369"/>
    <s v="1 year ago"/>
    <m/>
    <m/>
    <m/>
    <x v="3"/>
    <m/>
    <m/>
    <m/>
    <m/>
  </r>
  <r>
    <n v="396"/>
    <x v="1"/>
    <m/>
    <m/>
    <s v="https://www.youtube.com/watch?v=cUULt5zHp0k"/>
    <s v="Amazing Discoveries About Ancient India That Are Being Neglected: Rajiv Malhotra"/>
    <x v="18"/>
    <m/>
    <m/>
    <n v="9500"/>
    <x v="370"/>
    <s v="1 year ago"/>
    <m/>
    <m/>
    <m/>
    <x v="3"/>
    <m/>
    <m/>
    <m/>
    <m/>
  </r>
  <r>
    <n v="397"/>
    <x v="1"/>
    <m/>
    <m/>
    <s v="https://www.youtube.com/watch?v=BNly0XIZX6c"/>
    <s v="Biases of American Academia who study Hinduism_MIT 5"/>
    <x v="18"/>
    <m/>
    <m/>
    <n v="276"/>
    <x v="371"/>
    <s v="1 year ago"/>
    <m/>
    <m/>
    <m/>
    <x v="3"/>
    <m/>
    <m/>
    <m/>
    <m/>
  </r>
  <r>
    <n v="398"/>
    <x v="1"/>
    <m/>
    <m/>
    <s v="https://www.youtube.com/watch?v=C3knBzrgTTY"/>
    <s v="Rajiv Malhotra MIT 8: Four types of Hindus who cannot help the cause of Hinduism"/>
    <x v="18"/>
    <m/>
    <m/>
    <n v="574"/>
    <x v="311"/>
    <s v="1 year ago"/>
    <m/>
    <m/>
    <m/>
    <x v="3"/>
    <m/>
    <m/>
    <m/>
    <m/>
  </r>
  <r>
    <n v="399"/>
    <x v="1"/>
    <m/>
    <m/>
    <s v="https://www.youtube.com/watch?v=w1UAQGgnz4A"/>
    <s v="Christianity Digested lot of Paganism #4"/>
    <x v="18"/>
    <m/>
    <m/>
    <n v="612"/>
    <x v="372"/>
    <s v="1 year ago"/>
    <m/>
    <m/>
    <m/>
    <x v="3"/>
    <m/>
    <m/>
    <m/>
    <m/>
  </r>
  <r>
    <n v="400"/>
    <x v="1"/>
    <m/>
    <m/>
    <s v="https://www.youtube.com/watch?v=1-5q-Da6EHQ"/>
    <s v="Rajiv Malhotra: # 5 Original Sin of Adam Eve &amp; Why Virgin Birth is such a big deal"/>
    <x v="18"/>
    <m/>
    <m/>
    <n v="423"/>
    <x v="156"/>
    <s v="1 year ago"/>
    <m/>
    <m/>
    <m/>
    <x v="3"/>
    <m/>
    <m/>
    <m/>
    <m/>
  </r>
  <r>
    <n v="401"/>
    <x v="1"/>
    <m/>
    <m/>
    <s v="https://www.youtube.com/watch?v=JcNaFHIozC4"/>
    <s v="#1 Difference is the Truth: Swami Dayanand Saraswati Launches Rajiv's Book 'Being Different'"/>
    <x v="18"/>
    <m/>
    <m/>
    <n v="567"/>
    <x v="373"/>
    <s v="1 year ago"/>
    <m/>
    <m/>
    <m/>
    <x v="3"/>
    <m/>
    <m/>
    <m/>
    <m/>
  </r>
  <r>
    <n v="402"/>
    <x v="1"/>
    <m/>
    <m/>
    <s v="https://www.youtube.com/watch?v=3zpg3MGhmyI"/>
    <s v="Rajiv Malhotra: # 2 Western Universalism Has Colonized Others"/>
    <x v="18"/>
    <m/>
    <m/>
    <n v="231"/>
    <x v="227"/>
    <s v="1 year ago"/>
    <m/>
    <m/>
    <m/>
    <x v="3"/>
    <m/>
    <m/>
    <m/>
    <m/>
  </r>
  <r>
    <n v="403"/>
    <x v="1"/>
    <m/>
    <m/>
    <s v="https://www.youtube.com/watch?v=QrVLpFoGRb4"/>
    <s v="Sanskrit Non-translatables, Being Different"/>
    <x v="18"/>
    <m/>
    <m/>
    <n v="415"/>
    <x v="374"/>
    <s v="1 year ago"/>
    <m/>
    <m/>
    <m/>
    <x v="3"/>
    <m/>
    <m/>
    <m/>
    <m/>
  </r>
  <r>
    <n v="404"/>
    <x v="1"/>
    <m/>
    <m/>
    <s v="https://www.youtube.com/watch?v=yCrftsxElf8"/>
    <s v="Rajiv Malhotra: # 6 Ask any Christian Theologian What happens to The Nicene Creed"/>
    <x v="18"/>
    <m/>
    <m/>
    <n v="553"/>
    <x v="375"/>
    <s v="1 year ago"/>
    <m/>
    <m/>
    <m/>
    <x v="3"/>
    <m/>
    <m/>
    <m/>
    <m/>
  </r>
  <r>
    <n v="405"/>
    <x v="1"/>
    <m/>
    <m/>
    <s v="https://www.youtube.com/watch?v=c0qRokhkADI"/>
    <s v="Rajiv Malhotra: Are Christianity &amp; Hinduism Same AND The Nature of Self in Both #7"/>
    <x v="18"/>
    <m/>
    <m/>
    <n v="353"/>
    <x v="188"/>
    <s v="1 year ago"/>
    <m/>
    <m/>
    <m/>
    <x v="3"/>
    <m/>
    <m/>
    <m/>
    <m/>
  </r>
  <r>
    <n v="406"/>
    <x v="1"/>
    <m/>
    <m/>
    <s v="https://www.youtube.com/watch?v=AcHVZjv6cAs"/>
    <s v="Purva-paksha of the West (Reversing the Gaze) not done by India: Rajiv Malhotra #8"/>
    <x v="18"/>
    <m/>
    <m/>
    <n v="798"/>
    <x v="376"/>
    <s v="1 year ago"/>
    <m/>
    <m/>
    <m/>
    <x v="3"/>
    <m/>
    <m/>
    <m/>
    <m/>
  </r>
  <r>
    <n v="407"/>
    <x v="1"/>
    <m/>
    <m/>
    <s v="https://www.youtube.com/watch?v=P1Eurn7tEJM"/>
    <s v="History-Centrism of Christianity Makes Them Prisoners of History: Rajiv Malhotra #9"/>
    <x v="18"/>
    <m/>
    <m/>
    <n v="632"/>
    <x v="35"/>
    <s v="1 year ago"/>
    <m/>
    <m/>
    <m/>
    <x v="3"/>
    <m/>
    <m/>
    <m/>
    <m/>
  </r>
  <r>
    <n v="408"/>
    <x v="1"/>
    <m/>
    <m/>
    <s v="https://www.youtube.com/watch?v=GDQ-FTObhak"/>
    <s v="Integral Unity Vs Synthetic Unity #10"/>
    <x v="18"/>
    <m/>
    <m/>
    <n v="363"/>
    <x v="158"/>
    <s v="1 year ago"/>
    <m/>
    <m/>
    <m/>
    <x v="3"/>
    <m/>
    <m/>
    <m/>
    <m/>
  </r>
  <r>
    <n v="409"/>
    <x v="1"/>
    <m/>
    <m/>
    <s v="https://www.youtube.com/watch?v=5P0vjP1Hdvs"/>
    <s v="Is Jesus Christian: Q&amp;A with Rajiv Malhotra #13"/>
    <x v="18"/>
    <m/>
    <m/>
    <n v="2400"/>
    <x v="377"/>
    <s v="1 year ago"/>
    <m/>
    <m/>
    <m/>
    <x v="3"/>
    <m/>
    <m/>
    <m/>
    <m/>
  </r>
  <r>
    <n v="410"/>
    <x v="1"/>
    <m/>
    <m/>
    <s v="https://www.youtube.com/watch?v=OAcu0ZHtcXc"/>
    <s v="Buddhist's Nature of Reality is also Integral Unity #11"/>
    <x v="18"/>
    <m/>
    <m/>
    <n v="513"/>
    <x v="378"/>
    <s v="1 year ago"/>
    <m/>
    <m/>
    <m/>
    <x v="3"/>
    <m/>
    <m/>
    <m/>
    <m/>
  </r>
  <r>
    <n v="411"/>
    <x v="1"/>
    <m/>
    <m/>
    <s v="https://www.youtube.com/watch?v=F4X3ljkLFP8"/>
    <s v="A Christian can be a True Advaitin Only if History-Centrism is Given up: Rajiv Malhotra #14"/>
    <x v="18"/>
    <m/>
    <m/>
    <n v="765"/>
    <x v="336"/>
    <s v="1 year ago"/>
    <m/>
    <m/>
    <m/>
    <x v="3"/>
    <m/>
    <m/>
    <m/>
    <m/>
  </r>
  <r>
    <n v="412"/>
    <x v="1"/>
    <m/>
    <m/>
    <s v="https://www.youtube.com/watch?v=_VfaX30ncIU"/>
    <s v="Swami Dayanand Saraswati Commends Rajiv Malhotra's Books #15"/>
    <x v="18"/>
    <m/>
    <m/>
    <n v="477"/>
    <x v="337"/>
    <s v="1 year ago"/>
    <m/>
    <m/>
    <m/>
    <x v="3"/>
    <m/>
    <m/>
    <m/>
    <m/>
  </r>
  <r>
    <n v="413"/>
    <x v="1"/>
    <m/>
    <m/>
    <s v="https://www.youtube.com/watch?v=JDOBTQ94-S4"/>
    <s v="Digested Cultures live in Museums #1"/>
    <x v="18"/>
    <m/>
    <m/>
    <n v="742"/>
    <x v="230"/>
    <s v="1 year ago"/>
    <m/>
    <m/>
    <m/>
    <x v="3"/>
    <m/>
    <m/>
    <m/>
    <m/>
  </r>
  <r>
    <n v="414"/>
    <x v="1"/>
    <m/>
    <m/>
    <s v="https://www.youtube.com/watch?v=5tMCiwnQlXM"/>
    <s v="Approach to Define The Dharma Point of View: Rajiv Malhotra #5"/>
    <x v="18"/>
    <m/>
    <m/>
    <n v="540"/>
    <x v="248"/>
    <s v="1 year ago"/>
    <m/>
    <m/>
    <m/>
    <x v="3"/>
    <m/>
    <m/>
    <m/>
    <m/>
  </r>
  <r>
    <n v="415"/>
    <x v="1"/>
    <m/>
    <m/>
    <s v="https://www.youtube.com/watch?v=61VsCIaQhX4"/>
    <s v="#2 Gurus Replacing Sanskrit Words with English Exposes the Tradition to Digestion"/>
    <x v="18"/>
    <m/>
    <m/>
    <n v="657"/>
    <x v="366"/>
    <s v="1 year ago"/>
    <m/>
    <m/>
    <m/>
    <x v="3"/>
    <m/>
    <m/>
    <m/>
    <m/>
  </r>
  <r>
    <n v="416"/>
    <x v="1"/>
    <m/>
    <m/>
    <s v="https://www.youtube.com/watch?v=o4_iAmYXDzg"/>
    <s v="How much of India do the Westerners Assimilate Before Making a U Turn #3"/>
    <x v="18"/>
    <m/>
    <m/>
    <n v="535"/>
    <x v="326"/>
    <s v="1 year ago"/>
    <m/>
    <m/>
    <m/>
    <x v="3"/>
    <m/>
    <m/>
    <m/>
    <m/>
  </r>
  <r>
    <n v="417"/>
    <x v="1"/>
    <m/>
    <m/>
    <s v="https://www.youtube.com/watch?v=bF-3L4O8Nq8"/>
    <s v="Our History is NOT a Myth —Q&amp;A Broadcast with Rajiv Malhotra"/>
    <x v="18"/>
    <m/>
    <m/>
    <n v="6400"/>
    <x v="379"/>
    <s v="1 year ago"/>
    <m/>
    <m/>
    <m/>
    <x v="3"/>
    <m/>
    <m/>
    <m/>
    <m/>
  </r>
  <r>
    <n v="418"/>
    <x v="1"/>
    <m/>
    <m/>
    <s v="https://www.youtube.com/watch?v=5c75GXSIdlM"/>
    <s v="#6 There is an Indian Universalism and Being Different is part of it."/>
    <x v="18"/>
    <m/>
    <m/>
    <n v="257"/>
    <x v="380"/>
    <s v="1 year ago"/>
    <m/>
    <m/>
    <m/>
    <x v="3"/>
    <m/>
    <m/>
    <m/>
    <m/>
  </r>
  <r>
    <n v="419"/>
    <x v="1"/>
    <m/>
    <m/>
    <s v="https://www.youtube.com/watch?v=KXamV4OZjYs"/>
    <s v="India is Often Mis-represented in USA by Our Colonized Mentality: Rajiv Malhotra #4"/>
    <x v="18"/>
    <m/>
    <m/>
    <n v="485"/>
    <x v="381"/>
    <s v="1 year ago"/>
    <m/>
    <m/>
    <m/>
    <x v="3"/>
    <m/>
    <m/>
    <m/>
    <m/>
  </r>
  <r>
    <n v="420"/>
    <x v="1"/>
    <m/>
    <m/>
    <s v="https://www.youtube.com/watch?v=rbrxzObExNc"/>
    <s v="Ideas of Yoga clash with Christianity's Nicene Creed: Rajiv Malhotra"/>
    <x v="18"/>
    <m/>
    <m/>
    <n v="994"/>
    <x v="382"/>
    <s v="1 year ago"/>
    <m/>
    <m/>
    <m/>
    <x v="3"/>
    <m/>
    <m/>
    <m/>
    <m/>
  </r>
  <r>
    <n v="421"/>
    <x v="1"/>
    <m/>
    <m/>
    <s v="https://www.youtube.com/watch?v=G6rcMSQ1UVE"/>
    <s v="Asking some very important questions about Sufism: Rajiv Malhotra #12"/>
    <x v="18"/>
    <m/>
    <m/>
    <n v="3300"/>
    <x v="383"/>
    <s v="1 year ago"/>
    <m/>
    <m/>
    <m/>
    <x v="3"/>
    <m/>
    <m/>
    <m/>
    <m/>
  </r>
  <r>
    <n v="422"/>
    <x v="1"/>
    <m/>
    <m/>
    <s v="https://www.youtube.com/watch?v=mK5DuxKw-I8"/>
    <s v="Everything is Ultimately a Distinct Expression of Brahman (Ultimate Reality) #2"/>
    <x v="18"/>
    <m/>
    <m/>
    <n v="376"/>
    <x v="350"/>
    <s v="1 year ago"/>
    <m/>
    <m/>
    <m/>
    <x v="3"/>
    <m/>
    <m/>
    <m/>
    <m/>
  </r>
  <r>
    <n v="423"/>
    <x v="1"/>
    <m/>
    <m/>
    <s v="https://www.youtube.com/watch?v=zV5AbsAy5m4"/>
    <s v="Rajiv Malhotra: Why Look for Legitimacy from The West #3"/>
    <x v="18"/>
    <m/>
    <m/>
    <n v="263"/>
    <x v="384"/>
    <s v="1 year ago"/>
    <m/>
    <m/>
    <m/>
    <x v="3"/>
    <m/>
    <m/>
    <m/>
    <m/>
  </r>
  <r>
    <n v="424"/>
    <x v="1"/>
    <m/>
    <m/>
    <s v="https://www.youtube.com/watch?v=dzUx3zUv_yw"/>
    <s v="Rajiv Malhotra: India should invest a huge amount in preserving it's civilization #5"/>
    <x v="18"/>
    <m/>
    <m/>
    <n v="309"/>
    <x v="364"/>
    <s v="1 year ago"/>
    <m/>
    <m/>
    <m/>
    <x v="3"/>
    <m/>
    <m/>
    <m/>
    <m/>
  </r>
  <r>
    <n v="425"/>
    <x v="1"/>
    <m/>
    <m/>
    <s v="https://www.youtube.com/watch?v=5iT09vIaZOU"/>
    <s v="Hindu Gurus are Muddled Up in Understanding Christianity: Rajiv Malhotra #1"/>
    <x v="18"/>
    <m/>
    <m/>
    <n v="899"/>
    <x v="385"/>
    <s v="1 year ago"/>
    <m/>
    <m/>
    <m/>
    <x v="3"/>
    <m/>
    <m/>
    <m/>
    <m/>
  </r>
  <r>
    <n v="426"/>
    <x v="1"/>
    <m/>
    <m/>
    <s v="https://www.youtube.com/watch?v=inpmzGJn2LU"/>
    <s v="Hindu Gurus Lost an Opportunity to Convert Western Yoga Students into Hindus #2"/>
    <x v="18"/>
    <m/>
    <m/>
    <n v="1400"/>
    <x v="154"/>
    <s v="1 year ago"/>
    <m/>
    <m/>
    <m/>
    <x v="3"/>
    <m/>
    <m/>
    <m/>
    <m/>
  </r>
  <r>
    <n v="427"/>
    <x v="1"/>
    <m/>
    <m/>
    <s v="https://www.youtube.com/watch?v=wXoImJcJYxQ"/>
    <s v="Rajiv Malhotra: How Yoga's Advanced Effects Depend on One's Worldview &amp; Lifestyle #3"/>
    <x v="18"/>
    <m/>
    <m/>
    <n v="328"/>
    <x v="386"/>
    <s v="1 year ago"/>
    <m/>
    <m/>
    <m/>
    <x v="3"/>
    <m/>
    <m/>
    <m/>
    <m/>
  </r>
  <r>
    <n v="428"/>
    <x v="1"/>
    <m/>
    <m/>
    <s v="https://www.youtube.com/watch?v=aASsLwbe6kY"/>
    <s v="Is chanting Om a part of Yoga: Rajiv Malhotra"/>
    <x v="18"/>
    <m/>
    <m/>
    <n v="776"/>
    <x v="21"/>
    <s v="1 year ago"/>
    <m/>
    <m/>
    <m/>
    <x v="3"/>
    <m/>
    <m/>
    <m/>
    <m/>
  </r>
  <r>
    <n v="429"/>
    <x v="1"/>
    <m/>
    <m/>
    <s v="https://www.youtube.com/watch?v=bFIqLn3c85c"/>
    <s v="Lets Create a &quot;Global Yoga Franchise&quot; with Lakhs of Teachers: Rajiv Malhotra #5"/>
    <x v="18"/>
    <m/>
    <m/>
    <n v="241"/>
    <x v="387"/>
    <s v="1 year ago"/>
    <m/>
    <m/>
    <m/>
    <x v="3"/>
    <m/>
    <m/>
    <m/>
    <m/>
  </r>
  <r>
    <n v="430"/>
    <x v="1"/>
    <m/>
    <m/>
    <s v="https://www.youtube.com/watch?v=PWZrF-TGsWo"/>
    <s v="What Should be India's Strategy for Leveraging Yoga: Rajiv Malhotra #6"/>
    <x v="18"/>
    <m/>
    <m/>
    <n v="440"/>
    <x v="388"/>
    <s v="1 year ago"/>
    <m/>
    <m/>
    <m/>
    <x v="3"/>
    <m/>
    <m/>
    <m/>
    <m/>
  </r>
  <r>
    <n v="431"/>
    <x v="1"/>
    <m/>
    <m/>
    <s v="https://www.youtube.com/watch?v=S2ePhtW_O5A"/>
    <s v="Rajiv Malhotra responds: What was the origin of Yoga #7"/>
    <x v="18"/>
    <m/>
    <m/>
    <n v="801"/>
    <x v="389"/>
    <s v="1 year ago"/>
    <m/>
    <m/>
    <m/>
    <x v="3"/>
    <m/>
    <m/>
    <m/>
    <m/>
  </r>
  <r>
    <n v="432"/>
    <x v="1"/>
    <m/>
    <m/>
    <s v="https://www.youtube.com/watch?v=6aJLKt2nXsg"/>
    <s v="Rajiv Malhotra: Yoga is Much More Than Asanas Physical Aspect #8"/>
    <x v="18"/>
    <m/>
    <m/>
    <n v="271"/>
    <x v="390"/>
    <s v="1 year ago"/>
    <m/>
    <m/>
    <m/>
    <x v="3"/>
    <m/>
    <m/>
    <m/>
    <m/>
  </r>
  <r>
    <n v="433"/>
    <x v="1"/>
    <m/>
    <m/>
    <s v="https://www.youtube.com/watch?v=tRgTeYpgv8c"/>
    <s v="Rajiv Malhotra: Yoga Practitioners Must Also Understand its Philosophy Properly #9"/>
    <x v="18"/>
    <m/>
    <m/>
    <n v="296"/>
    <x v="2"/>
    <s v="1 year ago"/>
    <m/>
    <m/>
    <m/>
    <x v="3"/>
    <m/>
    <m/>
    <m/>
    <m/>
  </r>
  <r>
    <n v="434"/>
    <x v="1"/>
    <m/>
    <m/>
    <s v="https://www.youtube.com/watch?v=txsij6WXt8s"/>
    <s v="Mutual Respect Between Hinduism &amp; Christianity is a One Way Street: Rajiv Malhotra"/>
    <x v="18"/>
    <m/>
    <m/>
    <n v="696"/>
    <x v="391"/>
    <s v="1 year ago"/>
    <m/>
    <m/>
    <m/>
    <x v="3"/>
    <m/>
    <m/>
    <m/>
    <m/>
  </r>
  <r>
    <n v="435"/>
    <x v="1"/>
    <m/>
    <m/>
    <s v="https://www.youtube.com/watch?v=AefxKKTqv5I"/>
    <s v="International Yoga Day, Philadelphia"/>
    <x v="18"/>
    <m/>
    <m/>
    <n v="2400"/>
    <x v="392"/>
    <s v="1 year ago"/>
    <m/>
    <m/>
    <m/>
    <x v="3"/>
    <m/>
    <m/>
    <m/>
    <m/>
  </r>
  <r>
    <n v="436"/>
    <x v="1"/>
    <m/>
    <m/>
    <s v="https://www.youtube.com/watch?v=7gTT37SeSUc"/>
    <s v="Rajiv Malhotra: Inner Awakening program integrates advaita inside with action outside"/>
    <x v="18"/>
    <m/>
    <m/>
    <n v="928"/>
    <x v="309"/>
    <s v="1 year ago"/>
    <m/>
    <m/>
    <m/>
    <x v="3"/>
    <m/>
    <m/>
    <m/>
    <m/>
  </r>
  <r>
    <n v="437"/>
    <x v="1"/>
    <m/>
    <m/>
    <s v="https://www.youtube.com/watch?v=o-395A-OrOQ"/>
    <s v="Dharma gets Digested into &quot;Products&quot; of Western Universalism: Rajiv Malhotra #2"/>
    <x v="18"/>
    <m/>
    <m/>
    <n v="261"/>
    <x v="393"/>
    <s v="1 year ago"/>
    <m/>
    <m/>
    <m/>
    <x v="3"/>
    <m/>
    <m/>
    <m/>
    <m/>
  </r>
  <r>
    <n v="438"/>
    <x v="1"/>
    <m/>
    <m/>
    <s v="https://www.youtube.com/watch?v=qYA9DVNkOCA"/>
    <s v="Rajiv Malhotra: #1 Adhyatma-Vidya as inner science"/>
    <x v="18"/>
    <m/>
    <m/>
    <n v="309"/>
    <x v="394"/>
    <s v="1 year ago"/>
    <m/>
    <m/>
    <m/>
    <x v="3"/>
    <m/>
    <m/>
    <m/>
    <m/>
  </r>
  <r>
    <n v="439"/>
    <x v="1"/>
    <m/>
    <m/>
    <s v="https://www.youtube.com/watch?v=-JT1qlD0wPQ"/>
    <s v="Non-digestible Tension Points Between Dharmic &amp; Western Universal traditions"/>
    <x v="18"/>
    <m/>
    <m/>
    <n v="184"/>
    <x v="395"/>
    <s v="1 year ago"/>
    <m/>
    <m/>
    <m/>
    <x v="3"/>
    <m/>
    <m/>
    <m/>
    <m/>
  </r>
  <r>
    <n v="440"/>
    <x v="1"/>
    <m/>
    <m/>
    <s v="https://www.youtube.com/watch?v=kSNHRGhGt_Y"/>
    <s v="Rajiv Malhotra: UTurn Stages of Appropriation #6"/>
    <x v="18"/>
    <m/>
    <m/>
    <n v="380"/>
    <x v="396"/>
    <s v="1 year ago"/>
    <m/>
    <m/>
    <m/>
    <x v="3"/>
    <m/>
    <m/>
    <m/>
    <m/>
  </r>
  <r>
    <n v="441"/>
    <x v="1"/>
    <m/>
    <m/>
    <s v="https://www.youtube.com/watch?v=adov37an6hU"/>
    <s v="Rajiv Malhotra: #5 Westernized Indians Discomfort about Own Heritage"/>
    <x v="18"/>
    <m/>
    <m/>
    <n v="398"/>
    <x v="397"/>
    <s v="1 year ago"/>
    <m/>
    <m/>
    <m/>
    <x v="3"/>
    <m/>
    <m/>
    <m/>
    <m/>
  </r>
  <r>
    <n v="442"/>
    <x v="1"/>
    <m/>
    <m/>
    <s v="https://www.youtube.com/watch?v=glBt8I5y1b8"/>
    <s v="Rajiv Malhotra: #4 Destructive Effect of Digestion"/>
    <x v="18"/>
    <m/>
    <m/>
    <n v="667"/>
    <x v="200"/>
    <s v="1 year ago"/>
    <m/>
    <m/>
    <m/>
    <x v="3"/>
    <m/>
    <m/>
    <m/>
    <m/>
  </r>
  <r>
    <n v="443"/>
    <x v="1"/>
    <m/>
    <m/>
    <s v="https://www.youtube.com/watch?v=a_HGSrmF_8w"/>
    <s v="Leftist Control of Mainstream Media is Biased: Rajiv Malhotra, BLR Lit Fest"/>
    <x v="18"/>
    <m/>
    <m/>
    <n v="1600"/>
    <x v="398"/>
    <s v="1 year ago"/>
    <m/>
    <m/>
    <m/>
    <x v="3"/>
    <m/>
    <m/>
    <m/>
    <m/>
  </r>
  <r>
    <n v="444"/>
    <x v="1"/>
    <m/>
    <m/>
    <s v="https://www.youtube.com/watch?v=Kfqplhug-eA"/>
    <s v="Rajiv Malhotra Intl Day of Yoga, Philadelphia: #1 Defining Yoga &amp; Relation to Dharma"/>
    <x v="18"/>
    <m/>
    <m/>
    <n v="797"/>
    <x v="159"/>
    <s v="1 year ago"/>
    <m/>
    <m/>
    <m/>
    <x v="3"/>
    <m/>
    <m/>
    <m/>
    <m/>
  </r>
  <r>
    <n v="445"/>
    <x v="1"/>
    <m/>
    <m/>
    <s v="https://www.youtube.com/watch?v=AgRVHML48XM"/>
    <s v="Rajiv Malhotra at Intl Day of Yoga, Philadelphia: #2 Should OM be removed from Yoga"/>
    <x v="18"/>
    <m/>
    <m/>
    <n v="327"/>
    <x v="399"/>
    <s v="1 year ago"/>
    <m/>
    <m/>
    <m/>
    <x v="3"/>
    <m/>
    <m/>
    <m/>
    <m/>
  </r>
  <r>
    <n v="446"/>
    <x v="1"/>
    <m/>
    <m/>
    <s v="https://www.youtube.com/watch?v=2Hmcjz_IH8I"/>
    <s v="Rajiv Malhotra at Intl Day of Yoga, Philadelphia: #3 Scope of Yoga"/>
    <x v="18"/>
    <m/>
    <m/>
    <n v="173"/>
    <x v="385"/>
    <s v="1 year ago"/>
    <m/>
    <m/>
    <m/>
    <x v="3"/>
    <m/>
    <m/>
    <m/>
    <m/>
  </r>
  <r>
    <n v="447"/>
    <x v="1"/>
    <m/>
    <m/>
    <s v="https://www.youtube.com/watch?v=xuKnWRKpLyM"/>
    <s v="Rajiv Malhotra at Intl Day of Yoga, Philadelphia: #4 Is Yoga a religion or science"/>
    <x v="18"/>
    <m/>
    <m/>
    <n v="297"/>
    <x v="400"/>
    <s v="1 year ago"/>
    <m/>
    <m/>
    <m/>
    <x v="3"/>
    <m/>
    <m/>
    <m/>
    <m/>
  </r>
  <r>
    <n v="448"/>
    <x v="1"/>
    <m/>
    <m/>
    <s v="https://www.youtube.com/watch?v=2U1DVGO8vo4"/>
    <s v="Rajiv Malhotra at Intl Day of Yoga, Philadelphia: #6 Yoga Asana for Schools"/>
    <x v="18"/>
    <m/>
    <m/>
    <n v="182"/>
    <x v="213"/>
    <s v="1 year ago"/>
    <m/>
    <m/>
    <m/>
    <x v="3"/>
    <m/>
    <m/>
    <m/>
    <m/>
  </r>
  <r>
    <n v="449"/>
    <x v="1"/>
    <m/>
    <m/>
    <s v="https://www.youtube.com/watch?v=xhcu0nbcfy0"/>
    <s v="Rajiv Malhotra: क्या हिन्दू धर्म और ईसाई रिलिजन समान हैं"/>
    <x v="18"/>
    <m/>
    <m/>
    <n v="1800"/>
    <x v="401"/>
    <s v="1 year ago"/>
    <m/>
    <m/>
    <m/>
    <x v="3"/>
    <m/>
    <m/>
    <m/>
    <m/>
  </r>
  <r>
    <n v="450"/>
    <x v="1"/>
    <m/>
    <m/>
    <s v="https://www.youtube.com/watch?v=lJLoAHZxMWE"/>
    <s v="Rajiv Malhotra fb LIVE 10: Keynote address at first ever 'Swadeshi Indology' Conference"/>
    <x v="18"/>
    <m/>
    <m/>
    <n v="3600"/>
    <x v="402"/>
    <s v="1 year ago"/>
    <m/>
    <m/>
    <m/>
    <x v="3"/>
    <m/>
    <m/>
    <m/>
    <m/>
  </r>
  <r>
    <n v="451"/>
    <x v="1"/>
    <m/>
    <m/>
    <s v="https://www.youtube.com/watch?v=dSKwv3KOvN8"/>
    <s v="Rajiv Malhotra at Intl Day of Yoga, Philadelphia: #7 Yoga philosophy is based on nature of Self"/>
    <x v="18"/>
    <m/>
    <m/>
    <n v="198"/>
    <x v="403"/>
    <s v="1 year ago"/>
    <m/>
    <m/>
    <m/>
    <x v="3"/>
    <m/>
    <m/>
    <m/>
    <m/>
  </r>
  <r>
    <n v="452"/>
    <x v="1"/>
    <m/>
    <m/>
    <s v="https://www.youtube.com/watch?v=t5tjD9qq-98"/>
    <s v="Rajiv Malhotra at Intl Day of Yoga, Philadelphia: #8 Yoga solves many kinds of issues"/>
    <x v="18"/>
    <m/>
    <m/>
    <n v="193"/>
    <x v="404"/>
    <s v="1 year ago"/>
    <m/>
    <m/>
    <m/>
    <x v="3"/>
    <m/>
    <m/>
    <m/>
    <m/>
  </r>
  <r>
    <n v="453"/>
    <x v="1"/>
    <m/>
    <m/>
    <s v="https://www.youtube.com/watch?v=LEotomBnsQk"/>
    <s v="Rajiv Malhotra: भारतीय स्वयं ज़िम्मेदारी लें, दूसरों पर न निर्भर हों"/>
    <x v="18"/>
    <m/>
    <m/>
    <n v="1000"/>
    <x v="405"/>
    <s v="1 year ago"/>
    <m/>
    <m/>
    <m/>
    <x v="3"/>
    <m/>
    <m/>
    <m/>
    <m/>
  </r>
  <r>
    <n v="454"/>
    <x v="1"/>
    <m/>
    <m/>
    <s v="https://www.youtube.com/watch?v=tpUBWJjtzrA"/>
    <s v="Rajiv Malhotra: BARC 2_True and verifiable history of Indian science &amp; technology"/>
    <x v="18"/>
    <m/>
    <m/>
    <n v="530"/>
    <x v="406"/>
    <s v="1 year ago"/>
    <m/>
    <m/>
    <m/>
    <x v="3"/>
    <m/>
    <m/>
    <m/>
    <m/>
  </r>
  <r>
    <n v="455"/>
    <x v="1"/>
    <m/>
    <m/>
    <s v="https://www.youtube.com/watch?v=Cuelsn9VyZQ"/>
    <s v="Quackery &amp; Chauvinism Can Spoil the Reputation of Scientific Work. #1"/>
    <x v="18"/>
    <m/>
    <m/>
    <n v="509"/>
    <x v="407"/>
    <s v="1 year ago"/>
    <m/>
    <m/>
    <m/>
    <x v="3"/>
    <m/>
    <m/>
    <m/>
    <m/>
  </r>
  <r>
    <n v="456"/>
    <x v="1"/>
    <m/>
    <m/>
    <s v="https://www.youtube.com/watch?v=IQCY6tVgZ9s"/>
    <s v="Rajiv Malhotra: BARC 3_Yoga claims there is an inner science Adhyatma Vidya that is verifiable"/>
    <x v="18"/>
    <m/>
    <m/>
    <n v="352"/>
    <x v="359"/>
    <s v="1 year ago"/>
    <m/>
    <m/>
    <m/>
    <x v="3"/>
    <m/>
    <m/>
    <m/>
    <m/>
  </r>
  <r>
    <n v="457"/>
    <x v="1"/>
    <m/>
    <m/>
    <s v="https://www.youtube.com/watch?v=xVrbpqr1LEE"/>
    <s v="Rajiv Malhotra at Intl Day of Yoga, Philadelphia: #5 योग का स्वामित्व किसके पास है"/>
    <x v="18"/>
    <m/>
    <m/>
    <n v="223"/>
    <x v="408"/>
    <s v="1 year ago"/>
    <m/>
    <m/>
    <m/>
    <x v="3"/>
    <m/>
    <m/>
    <m/>
    <m/>
  </r>
  <r>
    <n v="458"/>
    <x v="1"/>
    <m/>
    <m/>
    <s v="https://www.youtube.com/watch?v=kZVT_WU4Pm4"/>
    <s v="Inaugural Address by Prof. V.N. Jha (First Swadeshi Indology Conference)"/>
    <x v="18"/>
    <m/>
    <m/>
    <n v="2500"/>
    <x v="409"/>
    <s v="1 year ago"/>
    <m/>
    <m/>
    <m/>
    <x v="3"/>
    <m/>
    <m/>
    <m/>
    <m/>
  </r>
  <r>
    <n v="459"/>
    <x v="1"/>
    <m/>
    <m/>
    <s v="https://www.youtube.com/watch?v=5HrBZvxcPmY"/>
    <s v="Swadeshi Indology Conference - Closing Comments by Rajiv Malhotra"/>
    <x v="18"/>
    <m/>
    <m/>
    <n v="4400"/>
    <x v="410"/>
    <s v="1 year ago"/>
    <m/>
    <m/>
    <m/>
    <x v="3"/>
    <m/>
    <m/>
    <m/>
    <m/>
  </r>
  <r>
    <n v="460"/>
    <x v="1"/>
    <m/>
    <m/>
    <s v="https://www.youtube.com/watch?v=KdiEMEbTV1M"/>
    <s v="Swadeshi Indology Conference: Prof Makarand Paranjape (JNU) on Ambedkarism and Islam"/>
    <x v="18"/>
    <m/>
    <m/>
    <n v="2700"/>
    <x v="250"/>
    <s v="1 year ago"/>
    <m/>
    <m/>
    <m/>
    <x v="3"/>
    <m/>
    <m/>
    <m/>
    <m/>
  </r>
  <r>
    <n v="461"/>
    <x v="1"/>
    <m/>
    <m/>
    <s v="https://www.youtube.com/watch?v=9Zummy0j6Ws"/>
    <s v="Welcome Speech by Prof Kannan - First Swadeshi Indology Conference"/>
    <x v="18"/>
    <m/>
    <m/>
    <n v="2200"/>
    <x v="411"/>
    <s v="1 year ago"/>
    <m/>
    <m/>
    <m/>
    <x v="3"/>
    <m/>
    <m/>
    <m/>
    <m/>
  </r>
  <r>
    <n v="462"/>
    <x v="1"/>
    <m/>
    <m/>
    <s v="https://www.youtube.com/watch?v=9VsQzAI5PLo"/>
    <s v="First Swadeshi Indology Conference: Inauguration and Felicitation"/>
    <x v="18"/>
    <m/>
    <m/>
    <n v="1000"/>
    <x v="412"/>
    <s v="1 year ago"/>
    <m/>
    <m/>
    <m/>
    <x v="3"/>
    <m/>
    <m/>
    <m/>
    <m/>
  </r>
  <r>
    <n v="463"/>
    <x v="1"/>
    <m/>
    <m/>
    <s v="https://www.youtube.com/watch?v=ZwiLQGKP--A"/>
    <s v="Swadeshi Indology Conference - Vote of Thanks by Prof Jalihal"/>
    <x v="18"/>
    <m/>
    <m/>
    <n v="704"/>
    <x v="413"/>
    <s v="1 year ago"/>
    <m/>
    <m/>
    <m/>
    <x v="3"/>
    <m/>
    <m/>
    <m/>
    <m/>
  </r>
  <r>
    <n v="464"/>
    <x v="1"/>
    <m/>
    <m/>
    <s v="https://www.youtube.com/watch?v=fmVDyQnLFe4"/>
    <s v="Rajiv: BARC 4_Adhyatma vidya is empirical inner science, different from external hard sciences"/>
    <x v="18"/>
    <m/>
    <m/>
    <n v="396"/>
    <x v="316"/>
    <s v="1 year ago"/>
    <m/>
    <m/>
    <m/>
    <x v="3"/>
    <m/>
    <m/>
    <m/>
    <m/>
  </r>
  <r>
    <n v="465"/>
    <x v="1"/>
    <m/>
    <m/>
    <s v="https://www.youtube.com/watch?v=ohUG8LIy7Cs"/>
    <s v="Rajiv Malhotra: BARC 5_Indian tradition ensures no conflict between science &amp; religion"/>
    <x v="18"/>
    <m/>
    <m/>
    <n v="260"/>
    <x v="372"/>
    <s v="1 year ago"/>
    <m/>
    <m/>
    <m/>
    <x v="3"/>
    <m/>
    <m/>
    <m/>
    <m/>
  </r>
  <r>
    <n v="466"/>
    <x v="1"/>
    <m/>
    <m/>
    <s v="https://www.youtube.com/watch?v=WfJvOgXp9SM"/>
    <s v="Rajiv Malhotra: BARC 6_ Colonizers left but the Indian mind is still colonized"/>
    <x v="18"/>
    <m/>
    <m/>
    <n v="366"/>
    <x v="414"/>
    <s v="1 year ago"/>
    <m/>
    <m/>
    <m/>
    <x v="3"/>
    <m/>
    <m/>
    <m/>
    <m/>
  </r>
  <r>
    <n v="467"/>
    <x v="1"/>
    <m/>
    <m/>
    <s v="https://www.youtube.com/watch?v=_vKbwIOfXy0"/>
    <s v="Rajiv Malhotra: BARC 7_Indian ideas have been plagiarized &amp; appropriated by the West"/>
    <x v="18"/>
    <m/>
    <m/>
    <n v="461"/>
    <x v="376"/>
    <s v="1 year ago"/>
    <m/>
    <m/>
    <m/>
    <x v="3"/>
    <m/>
    <m/>
    <m/>
    <m/>
  </r>
  <r>
    <n v="468"/>
    <x v="1"/>
    <m/>
    <m/>
    <s v="https://www.youtube.com/watch?v=NNu6sJz2cPI"/>
    <s v="Rajiv Malhotra: BARC 8_ Swami Vivekananda influenced Nikola Tesla"/>
    <x v="18"/>
    <m/>
    <m/>
    <n v="849"/>
    <x v="328"/>
    <s v="1 year ago"/>
    <m/>
    <m/>
    <m/>
    <x v="3"/>
    <m/>
    <m/>
    <m/>
    <m/>
  </r>
  <r>
    <n v="469"/>
    <x v="1"/>
    <m/>
    <m/>
    <s v="https://www.youtube.com/watch?v=Deab_JE4fv4"/>
    <s v="Rajiv: BARC 9_ How Herb Benson and Stephen Laberge have appropriated ideas from Indian mind sciences"/>
    <x v="18"/>
    <m/>
    <m/>
    <n v="248"/>
    <x v="415"/>
    <s v="1 year ago"/>
    <m/>
    <m/>
    <m/>
    <x v="3"/>
    <m/>
    <m/>
    <m/>
    <m/>
  </r>
  <r>
    <n v="470"/>
    <x v="1"/>
    <m/>
    <m/>
    <s v="https://www.youtube.com/watch?v=GiNhw1WJNXc"/>
    <s v="Rajiv Malhotra: BARC 10_Indian Philosophy is the only one compatible with Quantum Physics"/>
    <x v="18"/>
    <m/>
    <m/>
    <n v="671"/>
    <x v="21"/>
    <s v="1 year ago"/>
    <m/>
    <m/>
    <m/>
    <x v="3"/>
    <m/>
    <m/>
    <m/>
    <m/>
  </r>
  <r>
    <n v="471"/>
    <x v="1"/>
    <m/>
    <m/>
    <s v="https://www.youtube.com/watch?v=NRep5rGd_FU"/>
    <s v="Rajiv Malhotra: BARC 12_Why difference and diversity should be preserved"/>
    <x v="18"/>
    <m/>
    <m/>
    <n v="335"/>
    <x v="416"/>
    <s v="1 year ago"/>
    <m/>
    <m/>
    <m/>
    <x v="3"/>
    <m/>
    <m/>
    <m/>
    <m/>
  </r>
  <r>
    <n v="472"/>
    <x v="1"/>
    <m/>
    <m/>
    <s v="https://www.youtube.com/watch?v=gF2CbaL7t6g"/>
    <s v="Rajiv Malhotra: Harvard Video Proves Their Infiltration of Kumbh Mela (with Hindi Subtitles)"/>
    <x v="18"/>
    <m/>
    <m/>
    <n v="1000"/>
    <x v="417"/>
    <s v="1 year ago"/>
    <m/>
    <m/>
    <m/>
    <x v="3"/>
    <m/>
    <m/>
    <m/>
    <m/>
  </r>
  <r>
    <n v="473"/>
    <x v="1"/>
    <m/>
    <m/>
    <s v="https://www.youtube.com/watch?v=GB9g4sKWR0M"/>
    <s v="Role of Organizations Like The Hindu American Foundation (HAF): Rajiv Malhotra #1"/>
    <x v="18"/>
    <m/>
    <m/>
    <n v="704"/>
    <x v="418"/>
    <s v="1 year ago"/>
    <m/>
    <m/>
    <m/>
    <x v="3"/>
    <m/>
    <m/>
    <m/>
    <m/>
  </r>
  <r>
    <n v="474"/>
    <x v="1"/>
    <m/>
    <m/>
    <s v="https://www.youtube.com/watch?v=AB0KeX_0T2I"/>
    <s v="Rajiv Malhotra's Hard-hitting Response to False Charges of Plagiarism #2"/>
    <x v="18"/>
    <m/>
    <m/>
    <n v="1100"/>
    <x v="419"/>
    <s v="1 year ago"/>
    <m/>
    <m/>
    <m/>
    <x v="3"/>
    <m/>
    <m/>
    <m/>
    <m/>
  </r>
  <r>
    <n v="475"/>
    <x v="1"/>
    <m/>
    <m/>
    <s v="https://www.youtube.com/watch?v=VDqAX3plBww"/>
    <s v="Rajiv Malhotra on Obama administration's effect on curtailing violence against Black people #3"/>
    <x v="18"/>
    <m/>
    <m/>
    <n v="179"/>
    <x v="12"/>
    <s v="1 year ago"/>
    <m/>
    <m/>
    <m/>
    <x v="3"/>
    <m/>
    <m/>
    <m/>
    <m/>
  </r>
  <r>
    <n v="476"/>
    <x v="1"/>
    <m/>
    <m/>
    <s v="https://www.youtube.com/watch?v=Hqx5Pfe-4NI"/>
    <s v="Indian Social Sciences Scholars are the New Elites: Rajiv Malhotra #4"/>
    <x v="18"/>
    <m/>
    <m/>
    <n v="961"/>
    <x v="420"/>
    <s v="1 year ago"/>
    <m/>
    <m/>
    <m/>
    <x v="3"/>
    <m/>
    <m/>
    <m/>
    <m/>
  </r>
  <r>
    <n v="477"/>
    <x v="1"/>
    <m/>
    <m/>
    <s v="https://www.youtube.com/watch?v=rAWCL2ENS90"/>
    <s v="Rajiv Malhotra: Importance of Knowledge Percolating to the Lower Strata #5"/>
    <x v="18"/>
    <m/>
    <m/>
    <n v="144"/>
    <x v="376"/>
    <s v="1 year ago"/>
    <m/>
    <m/>
    <m/>
    <x v="3"/>
    <m/>
    <m/>
    <m/>
    <m/>
  </r>
  <r>
    <n v="478"/>
    <x v="1"/>
    <m/>
    <m/>
    <s v="https://www.youtube.com/watch?v=47hxgUfQ8jo"/>
    <s v="Ambedkar and The Origins of 'Left Wing' 'Right Wing' #6"/>
    <x v="18"/>
    <m/>
    <m/>
    <n v="2400"/>
    <x v="421"/>
    <s v="1 year ago"/>
    <m/>
    <m/>
    <m/>
    <x v="3"/>
    <m/>
    <m/>
    <m/>
    <m/>
  </r>
  <r>
    <n v="479"/>
    <x v="1"/>
    <m/>
    <m/>
    <s v="https://www.youtube.com/watch?v=EMznloyYysU"/>
    <s v="Harvard Video Proves Their Infiltration of Kumbh Mela: Rajiv Malhotra"/>
    <x v="18"/>
    <m/>
    <m/>
    <n v="2800"/>
    <x v="417"/>
    <s v="1 year ago"/>
    <m/>
    <m/>
    <m/>
    <x v="3"/>
    <m/>
    <m/>
    <m/>
    <m/>
  </r>
  <r>
    <n v="480"/>
    <x v="1"/>
    <m/>
    <m/>
    <s v="https://www.youtube.com/watch?v=Xsq9jAEpAY8"/>
    <s v="Supreme Court Lawyer Monika Arora Explains Lawsuit Against Wendy Doniger’s Book"/>
    <x v="18"/>
    <m/>
    <m/>
    <n v="14000"/>
    <x v="422"/>
    <s v="1 year ago"/>
    <m/>
    <m/>
    <m/>
    <x v="3"/>
    <m/>
    <m/>
    <m/>
    <m/>
  </r>
  <r>
    <n v="481"/>
    <x v="1"/>
    <m/>
    <m/>
    <s v="https://www.youtube.com/watch?v=-HWLO-7d98U"/>
    <s v="Rajiv Malhotra on NewsX Channel: Hinduphobia, Breaking India forces &amp; Kashmir problem"/>
    <x v="18"/>
    <m/>
    <m/>
    <n v="3500"/>
    <x v="26"/>
    <s v="1 year ago"/>
    <m/>
    <m/>
    <m/>
    <x v="3"/>
    <m/>
    <m/>
    <m/>
    <m/>
  </r>
  <r>
    <n v="482"/>
    <x v="1"/>
    <m/>
    <m/>
    <s v="https://www.youtube.com/watch?v=xAx9rKxKjCk"/>
    <s v="Rajiv Malhotra on Literarisation #7"/>
    <x v="18"/>
    <m/>
    <m/>
    <n v="118"/>
    <x v="423"/>
    <s v="1 year ago"/>
    <m/>
    <m/>
    <m/>
    <x v="3"/>
    <m/>
    <m/>
    <m/>
    <m/>
  </r>
  <r>
    <n v="483"/>
    <x v="1"/>
    <m/>
    <m/>
    <s v="https://www.youtube.com/watch?v=pIn71L7Kv9Q"/>
    <s v="Rajiv Malhotra: The Invisible Fence Syndrome #9"/>
    <x v="18"/>
    <m/>
    <m/>
    <n v="317"/>
    <x v="424"/>
    <s v="1 year ago"/>
    <m/>
    <m/>
    <m/>
    <x v="3"/>
    <m/>
    <m/>
    <m/>
    <m/>
  </r>
  <r>
    <n v="484"/>
    <x v="1"/>
    <m/>
    <m/>
    <s v="https://www.youtube.com/watch?v=9oRLNbl-DxI"/>
    <s v="Why the Hindu Community has Failed to Confront Hinduphobia #1"/>
    <x v="18"/>
    <m/>
    <m/>
    <n v="3200"/>
    <x v="339"/>
    <s v="1 year ago"/>
    <m/>
    <m/>
    <m/>
    <x v="3"/>
    <m/>
    <m/>
    <m/>
    <m/>
  </r>
  <r>
    <n v="485"/>
    <x v="1"/>
    <m/>
    <m/>
    <s v="https://www.youtube.com/watch?v=ZhuUYD3QvB8"/>
    <s v="Rajiv Malhotra: The Need For Hindu Viewpoint in Mainstream Media #2"/>
    <x v="18"/>
    <m/>
    <m/>
    <n v="219"/>
    <x v="349"/>
    <s v="1 year ago"/>
    <m/>
    <m/>
    <m/>
    <x v="3"/>
    <m/>
    <m/>
    <m/>
    <m/>
  </r>
  <r>
    <n v="486"/>
    <x v="1"/>
    <m/>
    <m/>
    <s v="https://www.youtube.com/watch?v=G2ke7Higm-Y"/>
    <s v="Rajiv Malhotra's Encounter with a Hinduphobic Professor from Univ of Chicago #3"/>
    <x v="18"/>
    <m/>
    <m/>
    <n v="22000"/>
    <x v="425"/>
    <s v="1 year ago"/>
    <m/>
    <m/>
    <m/>
    <x v="3"/>
    <m/>
    <m/>
    <m/>
    <m/>
  </r>
  <r>
    <n v="487"/>
    <x v="1"/>
    <m/>
    <m/>
    <s v="https://www.youtube.com/watch?v=FTdLV7hcCvI"/>
    <s v="Removing Caste Discrimination in India: Rajiv Malhotra #4"/>
    <x v="18"/>
    <m/>
    <m/>
    <n v="743"/>
    <x v="161"/>
    <s v="1 year ago"/>
    <m/>
    <m/>
    <m/>
    <x v="3"/>
    <m/>
    <m/>
    <m/>
    <m/>
  </r>
  <r>
    <n v="488"/>
    <x v="1"/>
    <m/>
    <m/>
    <s v="https://www.youtube.com/watch?v=FQ3dpY5j5y8"/>
    <s v="Rajiv Malhotra: Why the Western Labels of 'Left' &amp; 'Right' Do Not Apply to Hinduism #5"/>
    <x v="18"/>
    <m/>
    <m/>
    <n v="408"/>
    <x v="407"/>
    <s v="1 year ago"/>
    <m/>
    <m/>
    <m/>
    <x v="3"/>
    <m/>
    <m/>
    <m/>
    <m/>
  </r>
  <r>
    <n v="489"/>
    <x v="1"/>
    <m/>
    <m/>
    <s v="https://www.youtube.com/watch?v=iGqKIfGTc-s"/>
    <s v="Rajiv Malhotra's Responds to Disruption by Hinduphobic Mob &amp; Condemns All Forms of Xenophobia #6"/>
    <x v="18"/>
    <m/>
    <m/>
    <n v="1800"/>
    <x v="426"/>
    <s v="1 year ago"/>
    <m/>
    <m/>
    <m/>
    <x v="3"/>
    <m/>
    <m/>
    <m/>
    <m/>
  </r>
  <r>
    <n v="490"/>
    <x v="1"/>
    <m/>
    <m/>
    <s v="https://www.youtube.com/watch?v=ejkbEib1Otk"/>
    <s v="Americanization of The Indian Elite: Rajiv Malhotra #8"/>
    <x v="18"/>
    <m/>
    <m/>
    <n v="577"/>
    <x v="377"/>
    <s v="1 year ago"/>
    <m/>
    <m/>
    <m/>
    <x v="3"/>
    <m/>
    <m/>
    <m/>
    <m/>
  </r>
  <r>
    <n v="491"/>
    <x v="1"/>
    <m/>
    <m/>
    <s v="https://www.youtube.com/watch?v=4PxIlOKBbng"/>
    <s v="Rajiv Malhotra: Impact of Aryan-Dravidian Theory in South India #1"/>
    <x v="18"/>
    <m/>
    <m/>
    <n v="1100"/>
    <x v="345"/>
    <s v="1 year ago"/>
    <m/>
    <m/>
    <m/>
    <x v="3"/>
    <m/>
    <m/>
    <m/>
    <m/>
  </r>
  <r>
    <n v="492"/>
    <x v="1"/>
    <m/>
    <m/>
    <s v="https://www.youtube.com/watch?v=9fu_xDvkBMk"/>
    <s v="Rajiv Malhotra: The Promise &amp; the Concerns Around Computational Linguistics #2"/>
    <x v="18"/>
    <m/>
    <m/>
    <n v="225"/>
    <x v="424"/>
    <s v="1 year ago"/>
    <m/>
    <m/>
    <m/>
    <x v="3"/>
    <m/>
    <m/>
    <m/>
    <m/>
  </r>
  <r>
    <n v="493"/>
    <x v="1"/>
    <m/>
    <m/>
    <s v="https://www.youtube.com/watch?v=s_eR4_6kip8"/>
    <s v="An Analyst of the 'Industry of Indology&quot;, Rajiv Malhotra #3"/>
    <x v="18"/>
    <m/>
    <m/>
    <n v="208"/>
    <x v="391"/>
    <s v="1 year ago"/>
    <m/>
    <m/>
    <m/>
    <x v="3"/>
    <m/>
    <m/>
    <m/>
    <m/>
  </r>
  <r>
    <n v="494"/>
    <x v="1"/>
    <m/>
    <m/>
    <s v="https://www.youtube.com/watch?v=C-AklzjB96w"/>
    <s v="Rajiv Malhotra: Who Defines Sacred and How to Experience It #4"/>
    <x v="18"/>
    <m/>
    <m/>
    <n v="422"/>
    <x v="427"/>
    <s v="1 year ago"/>
    <m/>
    <m/>
    <m/>
    <x v="3"/>
    <m/>
    <m/>
    <m/>
    <m/>
  </r>
  <r>
    <n v="495"/>
    <x v="1"/>
    <m/>
    <m/>
    <s v="https://www.youtube.com/watch?v=CLCX0mlWjw0"/>
    <s v="How the Britishers Created Caste-based Fault Lines in India #5"/>
    <x v="18"/>
    <m/>
    <m/>
    <n v="6600"/>
    <x v="428"/>
    <s v="1 year ago"/>
    <m/>
    <m/>
    <m/>
    <x v="3"/>
    <m/>
    <m/>
    <m/>
    <m/>
  </r>
  <r>
    <n v="496"/>
    <x v="1"/>
    <m/>
    <m/>
    <s v="https://www.youtube.com/watch?v=5XqO9FCH3Xk"/>
    <s v="Rajiv Malhotra: The Book 'Battle for Sanskrit' &amp; what happened to the Sringeri Mutt Project #6"/>
    <x v="18"/>
    <m/>
    <m/>
    <n v="1000"/>
    <x v="429"/>
    <s v="1 year ago"/>
    <m/>
    <m/>
    <m/>
    <x v="3"/>
    <m/>
    <m/>
    <m/>
    <m/>
  </r>
  <r>
    <n v="497"/>
    <x v="1"/>
    <m/>
    <m/>
    <s v="https://www.youtube.com/watch?v=4xWwhXcAjhU"/>
    <s v="Analysis of Pollock's &quot;Death of Sanskrit&quot; thesis - 2 paper presentations"/>
    <x v="18"/>
    <m/>
    <m/>
    <n v="2100"/>
    <x v="430"/>
    <s v="1 year ago"/>
    <m/>
    <m/>
    <m/>
    <x v="3"/>
    <m/>
    <m/>
    <m/>
    <m/>
  </r>
  <r>
    <n v="498"/>
    <x v="1"/>
    <m/>
    <m/>
    <s v="https://www.youtube.com/watch?v=KStzrk3h76o"/>
    <s v="Rajiv Malhotra's comments and Q&amp;A on &quot;Death of Sanskrit&quot; Thesis"/>
    <x v="18"/>
    <m/>
    <m/>
    <n v="1900"/>
    <x v="431"/>
    <s v="1 year ago"/>
    <m/>
    <m/>
    <m/>
    <x v="3"/>
    <m/>
    <m/>
    <m/>
    <m/>
  </r>
  <r>
    <n v="499"/>
    <x v="1"/>
    <m/>
    <m/>
    <s v="https://www.youtube.com/watch?v=udY03G3fVJQ"/>
    <s v="Rajiv Malhotra: I will do the Purvapaksha &amp; Traditional Scholars Should do Uttarpaksa #7"/>
    <x v="18"/>
    <m/>
    <m/>
    <n v="234"/>
    <x v="432"/>
    <s v="1 year ago"/>
    <m/>
    <m/>
    <m/>
    <x v="3"/>
    <m/>
    <m/>
    <m/>
    <m/>
  </r>
  <r>
    <n v="500"/>
    <x v="1"/>
    <m/>
    <m/>
    <s v="https://www.youtube.com/watch?v=1UT4aCq24wA"/>
    <s v="Rajiv Malhotra: Lack of Rigor in Indian Academia &amp; the Removal of Sacred from Sanskrit #9"/>
    <x v="18"/>
    <m/>
    <m/>
    <n v="205"/>
    <x v="338"/>
    <s v="1 year ago"/>
    <m/>
    <m/>
    <m/>
    <x v="3"/>
    <m/>
    <m/>
    <m/>
    <m/>
  </r>
  <r>
    <n v="501"/>
    <x v="1"/>
    <m/>
    <m/>
    <s v="https://www.youtube.com/watch?v=JkMKDP2BOlw&amp;t=169s"/>
    <s v="Pollock’s Position on Sastras - Surya K"/>
    <x v="18"/>
    <m/>
    <m/>
    <n v="3000"/>
    <x v="433"/>
    <s v="1 year ago"/>
    <m/>
    <m/>
    <m/>
    <x v="3"/>
    <m/>
    <m/>
    <m/>
    <m/>
  </r>
  <r>
    <n v="502"/>
    <x v="1"/>
    <m/>
    <m/>
    <s v="https://www.youtube.com/watch?v=a6bj2Qddmzk"/>
    <s v="Critique of Pollock's Position on The Science of Sastras - 2 Paper Presentations"/>
    <x v="18"/>
    <m/>
    <m/>
    <n v="2400"/>
    <x v="434"/>
    <s v="1 year ago"/>
    <m/>
    <m/>
    <m/>
    <x v="3"/>
    <m/>
    <m/>
    <m/>
    <m/>
  </r>
  <r>
    <n v="503"/>
    <x v="1"/>
    <m/>
    <m/>
    <s v="https://www.youtube.com/watch?v=qEJJIhs02cI"/>
    <s v="Prof. Ramanujan's comments and Q&amp;A on the two papers on science of Sastra"/>
    <x v="18"/>
    <m/>
    <m/>
    <n v="2800"/>
    <x v="435"/>
    <s v="1 year ago"/>
    <m/>
    <m/>
    <m/>
    <x v="3"/>
    <m/>
    <m/>
    <m/>
    <m/>
  </r>
  <r>
    <n v="504"/>
    <x v="1"/>
    <m/>
    <m/>
    <s v="https://www.youtube.com/watch?v=v2dy-2T9kRE"/>
    <s v="Misrepresentations in Pollock’s Sastra paper - 2 Paper Presentations"/>
    <x v="18"/>
    <m/>
    <m/>
    <n v="3500"/>
    <x v="436"/>
    <s v="1 year ago"/>
    <m/>
    <m/>
    <m/>
    <x v="3"/>
    <m/>
    <m/>
    <m/>
    <m/>
  </r>
  <r>
    <n v="505"/>
    <x v="1"/>
    <m/>
    <m/>
    <s v="https://www.youtube.com/watch?v=REfOblHmn6Q"/>
    <s v="Comments on two papers on misrepresentations in Pollock’s Sastra paper: Prof. VN Jha"/>
    <x v="18"/>
    <m/>
    <m/>
    <n v="1000"/>
    <x v="437"/>
    <s v="1 year ago"/>
    <m/>
    <m/>
    <m/>
    <x v="3"/>
    <m/>
    <m/>
    <m/>
    <m/>
  </r>
  <r>
    <n v="506"/>
    <x v="1"/>
    <m/>
    <m/>
    <s v="https://www.youtube.com/watch?v=8Fyp5gw_HGc&amp;t=19s"/>
    <s v="Rajiv Malhotra and others in discussion on Pollock's position on Sastras"/>
    <x v="18"/>
    <m/>
    <m/>
    <n v="4300"/>
    <x v="438"/>
    <s v="1 year ago"/>
    <m/>
    <m/>
    <m/>
    <x v="3"/>
    <m/>
    <m/>
    <m/>
    <m/>
  </r>
  <r>
    <n v="507"/>
    <x v="1"/>
    <m/>
    <m/>
    <s v="https://www.youtube.com/watch?v=xl6nyKVDNCQ"/>
    <s v="Rajiv Malhotra fb LIVE 11: Strategy of Infinity Foundation India &amp; How it will Transform India"/>
    <x v="18"/>
    <m/>
    <m/>
    <n v="2600"/>
    <x v="439"/>
    <s v="1 year ago"/>
    <m/>
    <m/>
    <m/>
    <x v="3"/>
    <m/>
    <m/>
    <m/>
    <m/>
  </r>
  <r>
    <n v="508"/>
    <x v="1"/>
    <m/>
    <m/>
    <s v="https://www.youtube.com/watch?v=ll-fhgVbj1I"/>
    <s v="Rajiv Malhotra: Importance of Sacredness in Indian Civilization #8"/>
    <x v="18"/>
    <m/>
    <m/>
    <n v="473"/>
    <x v="440"/>
    <s v="1 year ago"/>
    <m/>
    <m/>
    <m/>
    <x v="3"/>
    <m/>
    <m/>
    <m/>
    <m/>
  </r>
  <r>
    <n v="509"/>
    <x v="1"/>
    <m/>
    <m/>
    <s v="https://www.youtube.com/watch?v=1uNyxmccf1U"/>
    <s v="Rajiv Malhotra's Unique Position to Critique Western Indology #1"/>
    <x v="18"/>
    <m/>
    <m/>
    <n v="974"/>
    <x v="15"/>
    <s v="1 year ago"/>
    <m/>
    <m/>
    <m/>
    <x v="3"/>
    <m/>
    <m/>
    <m/>
    <m/>
  </r>
  <r>
    <n v="510"/>
    <x v="1"/>
    <m/>
    <m/>
    <s v="https://www.youtube.com/watch?v=NMCXHN1fW9k"/>
    <s v="Rajiv Malhotra: What is Our Response to Murty Classical Library 500 Volume Project #3"/>
    <x v="18"/>
    <m/>
    <m/>
    <n v="437"/>
    <x v="327"/>
    <s v="1 year ago"/>
    <m/>
    <m/>
    <m/>
    <x v="3"/>
    <m/>
    <m/>
    <m/>
    <m/>
  </r>
  <r>
    <n v="511"/>
    <x v="1"/>
    <m/>
    <m/>
    <s v="https://www.youtube.com/watch?v=NeCQOUox8zc"/>
    <s v="Making Sanskrit Mainstream: Rajiv Malhotra's Vision #4"/>
    <x v="18"/>
    <m/>
    <m/>
    <n v="274"/>
    <x v="441"/>
    <s v="1 year ago"/>
    <m/>
    <m/>
    <m/>
    <x v="3"/>
    <m/>
    <m/>
    <m/>
    <m/>
  </r>
  <r>
    <n v="512"/>
    <x v="1"/>
    <m/>
    <m/>
    <s v="https://www.youtube.com/watch?v=3vhgcNKVRgY"/>
    <s v="Rajiv Malhotra: How Devdutt Pattanaik is Facilitating Digestion by Turning Our Itihas into Myth #5"/>
    <x v="18"/>
    <m/>
    <m/>
    <n v="4200"/>
    <x v="432"/>
    <s v="1 year ago"/>
    <m/>
    <m/>
    <m/>
    <x v="3"/>
    <m/>
    <m/>
    <m/>
    <m/>
  </r>
  <r>
    <n v="513"/>
    <x v="1"/>
    <m/>
    <m/>
    <s v="https://www.youtube.com/watch?v=gPdm-EF13GU"/>
    <s v="Prof Girish Nath Jha &amp; Rajiv Malhotra on the Decline of Sanskrit During Colonial Times #6"/>
    <x v="18"/>
    <m/>
    <m/>
    <n v="366"/>
    <x v="338"/>
    <s v="1 year ago"/>
    <m/>
    <m/>
    <m/>
    <x v="3"/>
    <m/>
    <m/>
    <m/>
    <m/>
  </r>
  <r>
    <n v="514"/>
    <x v="1"/>
    <m/>
    <m/>
    <s v="https://www.youtube.com/watch?v=wYCmU0vaKvc"/>
    <s v="Loss of Purvapaksha Tradition Led to The Decline of Indian Civilization #7"/>
    <x v="18"/>
    <m/>
    <m/>
    <n v="277"/>
    <x v="11"/>
    <s v="1 year ago"/>
    <m/>
    <m/>
    <m/>
    <x v="3"/>
    <m/>
    <m/>
    <m/>
    <m/>
  </r>
  <r>
    <n v="515"/>
    <x v="1"/>
    <m/>
    <m/>
    <s v="https://www.youtube.com/watch?v=wu_ONpNjikY"/>
    <s v="If Dravidianism can be debunked, AIT will become irrelevant by Rajiv Malhotra #8"/>
    <x v="18"/>
    <m/>
    <m/>
    <n v="667"/>
    <x v="184"/>
    <s v="1 year ago"/>
    <m/>
    <m/>
    <m/>
    <x v="3"/>
    <m/>
    <m/>
    <m/>
    <m/>
  </r>
  <r>
    <n v="516"/>
    <x v="1"/>
    <m/>
    <m/>
    <s v="https://www.youtube.com/watch?v=6ufhk6JL8x8"/>
    <s v="BFS Book Cover, &quot;Sir William Jones &amp; The Pandits&quot; #2"/>
    <x v="18"/>
    <m/>
    <m/>
    <n v="434"/>
    <x v="442"/>
    <s v="1 year ago"/>
    <m/>
    <m/>
    <m/>
    <x v="3"/>
    <m/>
    <m/>
    <m/>
    <m/>
  </r>
  <r>
    <n v="517"/>
    <x v="1"/>
    <m/>
    <m/>
    <s v="https://www.youtube.com/watch?v=S9RImbEoWYA"/>
    <s v="Rajiv Malhotra Argues for Continually Updating the Purvapaksha Tradition #9"/>
    <x v="18"/>
    <m/>
    <m/>
    <n v="556"/>
    <x v="377"/>
    <s v="1 year ago"/>
    <m/>
    <m/>
    <m/>
    <x v="3"/>
    <m/>
    <m/>
    <m/>
    <m/>
  </r>
  <r>
    <n v="518"/>
    <x v="1"/>
    <m/>
    <m/>
    <s v="https://www.youtube.com/watch?v=D7yIybTWmmU"/>
    <s v="Prof Upender Rao: Evidence of Sanskrit Being Part of Popular Culture #11"/>
    <x v="18"/>
    <m/>
    <m/>
    <n v="449"/>
    <x v="443"/>
    <s v="1 year ago"/>
    <m/>
    <m/>
    <m/>
    <x v="3"/>
    <m/>
    <m/>
    <m/>
    <m/>
  </r>
  <r>
    <n v="519"/>
    <x v="1"/>
    <m/>
    <m/>
    <s v="https://www.youtube.com/watch?v=EfHkupTL5wU"/>
    <s v="Prof Girish Jha Describes Research Applying Traditional Sanskrit Knowledge in Modern Science #12"/>
    <x v="18"/>
    <m/>
    <m/>
    <n v="813"/>
    <x v="444"/>
    <s v="1 year ago"/>
    <m/>
    <m/>
    <m/>
    <x v="3"/>
    <m/>
    <m/>
    <m/>
    <m/>
  </r>
  <r>
    <n v="520"/>
    <x v="1"/>
    <m/>
    <m/>
    <s v="https://www.youtube.com/watch?v=4pkD8CkJiIQ"/>
    <s v="Negative Impact of Indian Billionaires Funding Western Universities #13"/>
    <x v="18"/>
    <m/>
    <m/>
    <n v="1400"/>
    <x v="445"/>
    <s v="1 year ago"/>
    <m/>
    <m/>
    <m/>
    <x v="3"/>
    <m/>
    <m/>
    <m/>
    <m/>
  </r>
  <r>
    <n v="521"/>
    <x v="1"/>
    <m/>
    <m/>
    <s v="https://www.youtube.com/watch?v=uTyoGVNa7FA"/>
    <s v="'Sanskritizing English' By Introducing Non-translatable words #14"/>
    <x v="18"/>
    <m/>
    <m/>
    <n v="343"/>
    <x v="446"/>
    <s v="1 year ago"/>
    <m/>
    <m/>
    <m/>
    <x v="3"/>
    <m/>
    <m/>
    <m/>
    <m/>
  </r>
  <r>
    <n v="522"/>
    <x v="1"/>
    <m/>
    <m/>
    <s v="https://www.youtube.com/watch?v=xkyySDtO5HU"/>
    <s v="Prof Koenraad Elst &amp; Prof Girish Jha on the alleged North &amp; South Language Divide in India #15"/>
    <x v="18"/>
    <m/>
    <m/>
    <n v="736"/>
    <x v="11"/>
    <s v="1 year ago"/>
    <m/>
    <m/>
    <m/>
    <x v="3"/>
    <m/>
    <m/>
    <m/>
    <m/>
  </r>
  <r>
    <n v="523"/>
    <x v="1"/>
    <m/>
    <m/>
    <s v="https://www.youtube.com/watch?v=VkyOIj4SQu4"/>
    <s v="Rajiv Malhotra on the origin of Sanskrit and Vedas #10"/>
    <x v="18"/>
    <m/>
    <m/>
    <n v="2300"/>
    <x v="11"/>
    <s v="1 year ago"/>
    <m/>
    <m/>
    <m/>
    <x v="3"/>
    <m/>
    <m/>
    <m/>
    <m/>
  </r>
  <r>
    <n v="524"/>
    <x v="1"/>
    <m/>
    <m/>
    <s v="https://www.youtube.com/watch?v=GCo89ggyUKw"/>
    <s v="Critiquing Pollock’s out of context reading of the Ramayana - 2 Paper Presentations"/>
    <x v="18"/>
    <m/>
    <m/>
    <n v="4800"/>
    <x v="447"/>
    <s v="1 year ago"/>
    <m/>
    <m/>
    <m/>
    <x v="3"/>
    <m/>
    <m/>
    <m/>
    <m/>
  </r>
  <r>
    <n v="525"/>
    <x v="1"/>
    <m/>
    <m/>
    <s v="https://www.youtube.com/watch?v=vOOkxcKaZEo"/>
    <s v="Pollock’s out of context reading of the Ramayana - Comments and Q&amp;A on the papers"/>
    <x v="18"/>
    <m/>
    <m/>
    <n v="2000"/>
    <x v="448"/>
    <s v="1 year ago"/>
    <m/>
    <m/>
    <m/>
    <x v="3"/>
    <m/>
    <m/>
    <m/>
    <m/>
  </r>
  <r>
    <n v="526"/>
    <x v="1"/>
    <m/>
    <m/>
    <s v="https://www.youtube.com/watch?v=aRzq_l_Rmcc"/>
    <s v="Comments on the two papers - Nityananda Misra"/>
    <x v="18"/>
    <m/>
    <m/>
    <n v="1900"/>
    <x v="449"/>
    <s v="1 year ago"/>
    <m/>
    <m/>
    <m/>
    <x v="3"/>
    <m/>
    <m/>
    <m/>
    <m/>
  </r>
  <r>
    <n v="527"/>
    <x v="1"/>
    <m/>
    <m/>
    <s v="https://www.youtube.com/watch?v=iZ6Xk9YCaaY"/>
    <s v="A Purvapaksha of Deep Orientalism - Ashay Naik"/>
    <x v="18"/>
    <m/>
    <m/>
    <n v="1400"/>
    <x v="450"/>
    <s v="1 year ago"/>
    <m/>
    <m/>
    <m/>
    <x v="3"/>
    <m/>
    <m/>
    <m/>
    <m/>
  </r>
  <r>
    <n v="528"/>
    <x v="1"/>
    <m/>
    <m/>
    <s v="https://www.youtube.com/watch?v=ozdJ_kTaZcc"/>
    <s v="History of Indology and Nazi ideology - Prof. K. Gopinath"/>
    <x v="18"/>
    <m/>
    <m/>
    <n v="1000"/>
    <x v="451"/>
    <s v="1 year ago"/>
    <m/>
    <m/>
    <m/>
    <x v="3"/>
    <m/>
    <m/>
    <m/>
    <m/>
  </r>
  <r>
    <n v="529"/>
    <x v="1"/>
    <m/>
    <m/>
    <s v="https://www.youtube.com/watch?v=Q7TqlnXF3cA"/>
    <s v="Sheldon Pollock's Idea of a Nazi Indology - Dr. Koenraad Elst"/>
    <x v="18"/>
    <m/>
    <m/>
    <n v="4900"/>
    <x v="452"/>
    <s v="1 year ago"/>
    <m/>
    <m/>
    <m/>
    <x v="3"/>
    <m/>
    <m/>
    <m/>
    <m/>
  </r>
  <r>
    <n v="530"/>
    <x v="1"/>
    <m/>
    <m/>
    <s v="https://www.youtube.com/watch?v=_nyKGkDh6WM"/>
    <s v="Theme- Sanskrit was Responsible for Holocaust- Comments and Q&amp;A"/>
    <x v="18"/>
    <m/>
    <m/>
    <n v="5200"/>
    <x v="87"/>
    <s v="1 year ago"/>
    <m/>
    <m/>
    <m/>
    <x v="3"/>
    <m/>
    <m/>
    <m/>
    <m/>
  </r>
  <r>
    <n v="531"/>
    <x v="1"/>
    <m/>
    <m/>
    <s v="https://www.youtube.com/watch?v=log0y9fRklc"/>
    <s v="How to Interpret the US Presidential Elections 2016 in terms of the Myth of American Exceptionalism"/>
    <x v="18"/>
    <m/>
    <m/>
    <n v="9200"/>
    <x v="453"/>
    <s v="1 year ago"/>
    <m/>
    <m/>
    <m/>
    <x v="3"/>
    <m/>
    <m/>
    <m/>
    <m/>
  </r>
  <r>
    <n v="532"/>
    <x v="1"/>
    <m/>
    <m/>
    <s v="https://www.youtube.com/watch?v=74BW9K7eGtY&amp;t=21s"/>
    <s v="The New MOHENJO DARO Movie, What is True &amp; False About Its Depictions of History"/>
    <x v="18"/>
    <m/>
    <m/>
    <n v="25000"/>
    <x v="454"/>
    <s v="1 year ago"/>
    <m/>
    <m/>
    <m/>
    <x v="3"/>
    <m/>
    <m/>
    <m/>
    <m/>
  </r>
  <r>
    <n v="533"/>
    <x v="1"/>
    <m/>
    <m/>
    <s v="https://www.youtube.com/watch?v=gzOZ5Lo3n9Y"/>
    <s v="JNU Sociology Professors are Effectively Studying &quot;The White Man's Grandmother&quot; #10"/>
    <x v="18"/>
    <m/>
    <m/>
    <n v="7400"/>
    <x v="455"/>
    <s v="1 year ago"/>
    <m/>
    <m/>
    <m/>
    <x v="3"/>
    <m/>
    <m/>
    <m/>
    <m/>
  </r>
  <r>
    <n v="534"/>
    <x v="1"/>
    <m/>
    <m/>
    <s v="https://www.youtube.com/watch?v=2yRygpW0RYY"/>
    <s v="On Pollockism- Purvapaksha on Pollock's Methodologies: Sati Shankar"/>
    <x v="18"/>
    <m/>
    <m/>
    <n v="716"/>
    <x v="456"/>
    <s v="1 year ago"/>
    <m/>
    <m/>
    <m/>
    <x v="3"/>
    <m/>
    <m/>
    <m/>
    <m/>
  </r>
  <r>
    <n v="535"/>
    <x v="1"/>
    <m/>
    <m/>
    <s v="https://www.youtube.com/watch?v=Y3j3g76ggFE"/>
    <s v="On Pollockism paper_Comments and Q and A"/>
    <x v="18"/>
    <m/>
    <m/>
    <n v="629"/>
    <x v="457"/>
    <s v="1 year ago"/>
    <m/>
    <m/>
    <m/>
    <x v="3"/>
    <m/>
    <m/>
    <m/>
    <m/>
  </r>
  <r>
    <n v="536"/>
    <x v="1"/>
    <m/>
    <m/>
    <s v="https://www.youtube.com/watch?v=bMOOUhzJreA"/>
    <s v="&quot;Sanskrit is dead and its okay&quot; - Naresh Cuntoor"/>
    <x v="18"/>
    <m/>
    <m/>
    <n v="858"/>
    <x v="458"/>
    <s v="1 year ago"/>
    <m/>
    <m/>
    <m/>
    <x v="3"/>
    <m/>
    <m/>
    <m/>
    <m/>
  </r>
  <r>
    <n v="537"/>
    <x v="1"/>
    <m/>
    <m/>
    <s v="https://www.youtube.com/watch?v=WzACbsbv3Mc"/>
    <s v="Vedic Knowledge, Science &amp; Pollockian Indology - Prof. Ravi Gomatam"/>
    <x v="18"/>
    <m/>
    <m/>
    <n v="1000"/>
    <x v="459"/>
    <s v="1 year ago"/>
    <m/>
    <m/>
    <m/>
    <x v="3"/>
    <m/>
    <m/>
    <m/>
    <m/>
  </r>
  <r>
    <n v="538"/>
    <x v="1"/>
    <m/>
    <m/>
    <s v="https://www.youtube.com/watch?v=0W0XxcsCH_0"/>
    <s v="Dr. Koenraad Elst's Comments on Indic Viewpoints to Refute Pollock's positions"/>
    <x v="18"/>
    <m/>
    <m/>
    <n v="2600"/>
    <x v="185"/>
    <s v="1 year ago"/>
    <m/>
    <m/>
    <m/>
    <x v="3"/>
    <m/>
    <m/>
    <m/>
    <m/>
  </r>
  <r>
    <n v="539"/>
    <x v="1"/>
    <m/>
    <m/>
    <s v="https://www.youtube.com/watch?v=a30EnICYBUA"/>
    <s v="Panel Discussion on Murty Classical Library - Part 1"/>
    <x v="18"/>
    <m/>
    <m/>
    <n v="4600"/>
    <x v="460"/>
    <s v="1 year ago"/>
    <m/>
    <m/>
    <m/>
    <x v="3"/>
    <m/>
    <m/>
    <m/>
    <m/>
  </r>
  <r>
    <n v="540"/>
    <x v="1"/>
    <m/>
    <m/>
    <s v="https://www.youtube.com/watch?v=Wr_CIMPuH3I"/>
    <s v="Panel Discussion on Murty Classical Library - Part 2"/>
    <x v="18"/>
    <m/>
    <m/>
    <n v="1900"/>
    <x v="461"/>
    <s v="1 year ago"/>
    <m/>
    <m/>
    <m/>
    <x v="3"/>
    <m/>
    <m/>
    <m/>
    <m/>
  </r>
  <r>
    <n v="541"/>
    <x v="1"/>
    <m/>
    <m/>
    <s v="https://www.youtube.com/watch?v=w1panKQ58dU"/>
    <s v="New TV Serial on Aryan/Dravidian Conflict is Incorrect &amp; Politically Dangerous"/>
    <x v="18"/>
    <m/>
    <m/>
    <n v="5600"/>
    <x v="462"/>
    <s v="1 year ago"/>
    <m/>
    <m/>
    <m/>
    <x v="3"/>
    <m/>
    <m/>
    <m/>
    <m/>
  </r>
  <r>
    <n v="542"/>
    <x v="1"/>
    <m/>
    <m/>
    <s v="https://www.youtube.com/watch?v=N20dY0-9Nio"/>
    <s v="Sense Philology - TM Narendran"/>
    <x v="18"/>
    <m/>
    <m/>
    <n v="984"/>
    <x v="463"/>
    <s v="1 year ago"/>
    <m/>
    <m/>
    <m/>
    <x v="3"/>
    <m/>
    <m/>
    <m/>
    <m/>
  </r>
  <r>
    <n v="543"/>
    <x v="1"/>
    <m/>
    <m/>
    <s v="https://www.youtube.com/watch?v=mxQpJeckKaU"/>
    <s v="Orientalist &amp; Post Colonial Basis of Indology - Ravi Joshi"/>
    <x v="18"/>
    <m/>
    <m/>
    <n v="722"/>
    <x v="122"/>
    <s v="1 year ago"/>
    <m/>
    <m/>
    <m/>
    <x v="3"/>
    <m/>
    <m/>
    <m/>
    <m/>
  </r>
  <r>
    <n v="544"/>
    <x v="1"/>
    <m/>
    <m/>
    <s v="https://www.youtube.com/watch?v=3dgPn1KOovw"/>
    <s v="Recent Political Attacks in Hawaii Against Hinduism —Christianity's Violent Conquest of Pagans #15"/>
    <x v="18"/>
    <m/>
    <m/>
    <n v="4900"/>
    <x v="464"/>
    <s v="1 year ago"/>
    <m/>
    <m/>
    <m/>
    <x v="3"/>
    <m/>
    <m/>
    <m/>
    <m/>
  </r>
  <r>
    <n v="545"/>
    <x v="1"/>
    <m/>
    <m/>
    <s v="https://www.youtube.com/watch?v=Aivw6qVhabo"/>
    <s v="Contrast the Attitude of Abrahamic Religions &amp; Sanatan Dharma Towards Peace #3"/>
    <x v="18"/>
    <m/>
    <m/>
    <n v="1000"/>
    <x v="225"/>
    <s v="1 year ago"/>
    <m/>
    <m/>
    <m/>
    <x v="3"/>
    <m/>
    <m/>
    <m/>
    <m/>
  </r>
  <r>
    <n v="546"/>
    <x v="1"/>
    <m/>
    <m/>
    <s v="https://www.youtube.com/watch?v=av1BWeMbl1Q"/>
    <s v="Rajiv Malhotra Discusses Strategy for Kumbh Mela with Head of Akhada Parishad"/>
    <x v="18"/>
    <m/>
    <m/>
    <n v="3500"/>
    <x v="465"/>
    <s v="1 year ago"/>
    <m/>
    <m/>
    <m/>
    <x v="3"/>
    <m/>
    <m/>
    <m/>
    <m/>
  </r>
  <r>
    <n v="547"/>
    <x v="1"/>
    <m/>
    <m/>
    <s v="https://www.youtube.com/watch?v=dLQSHM_T-jI"/>
    <s v="Hindu Dharma Shastras Accused of Human Rights Violation Against Women &amp; Dalits #4"/>
    <x v="18"/>
    <m/>
    <m/>
    <n v="1900"/>
    <x v="466"/>
    <s v="1 year ago"/>
    <m/>
    <m/>
    <m/>
    <x v="3"/>
    <m/>
    <m/>
    <m/>
    <m/>
  </r>
  <r>
    <n v="548"/>
    <x v="1"/>
    <m/>
    <m/>
    <s v="https://www.youtube.com/watch?v=joPLKP546hk"/>
    <s v="Are The Vedic Texts Not Powerful Enough To Convince Anybody Who Reads it: Rajiv Malhotra #6"/>
    <x v="18"/>
    <m/>
    <m/>
    <n v="1300"/>
    <x v="467"/>
    <s v="1 year ago"/>
    <m/>
    <m/>
    <m/>
    <x v="3"/>
    <m/>
    <m/>
    <m/>
    <m/>
  </r>
  <r>
    <n v="549"/>
    <x v="1"/>
    <m/>
    <m/>
    <s v="https://www.youtube.com/watch?v=0ol6BUtHZu8"/>
    <s v="Do Our sacred Scriptures Praise War &amp; Violence: Rajiv Malhotra #8"/>
    <x v="18"/>
    <m/>
    <m/>
    <n v="1200"/>
    <x v="219"/>
    <s v="1 year ago"/>
    <m/>
    <m/>
    <m/>
    <x v="3"/>
    <m/>
    <m/>
    <m/>
    <m/>
  </r>
  <r>
    <n v="550"/>
    <x v="1"/>
    <m/>
    <m/>
    <s v="https://www.youtube.com/watch?v=N1wkN3CKqHY"/>
    <s v="Rajiv Malhotra Interviews Yogi Amrit Desai - Part 1"/>
    <x v="18"/>
    <m/>
    <m/>
    <n v="4900"/>
    <x v="468"/>
    <s v="1 year ago"/>
    <m/>
    <m/>
    <m/>
    <x v="3"/>
    <m/>
    <m/>
    <m/>
    <m/>
  </r>
  <r>
    <n v="551"/>
    <x v="1"/>
    <m/>
    <m/>
    <s v="https://www.youtube.com/watch?v=Zr29r9gnq6A"/>
    <s v="Rajiv Malhotra &amp; Dr Subramanian Swamy in a Vibrant LIVE Broadcast on Strategic Issues #16"/>
    <x v="18"/>
    <m/>
    <m/>
    <n v="62000"/>
    <x v="469"/>
    <s v="11 months ago"/>
    <m/>
    <m/>
    <m/>
    <x v="3"/>
    <m/>
    <m/>
    <m/>
    <m/>
  </r>
  <r>
    <n v="552"/>
    <x v="1"/>
    <m/>
    <m/>
    <s v="https://www.youtube.com/watch?v=eVhJjqlSE8s"/>
    <s v="How to Counter Devdutt Pattanaik's Absurd Interpretations of Hinduism: Rajiv Malhotra #5"/>
    <x v="18"/>
    <m/>
    <m/>
    <n v="7000"/>
    <x v="470"/>
    <s v="11 months ago"/>
    <m/>
    <m/>
    <m/>
    <x v="3"/>
    <m/>
    <m/>
    <m/>
    <m/>
  </r>
  <r>
    <n v="553"/>
    <x v="1"/>
    <m/>
    <m/>
    <s v="https://www.youtube.com/watch?v=R6bvpvI1_uY"/>
    <s v="Yogi Amrit Desai's Hatha Yoga is Integrated Into Ashtanga Yoga: Rajiv Part 2"/>
    <x v="18"/>
    <m/>
    <m/>
    <n v="1700"/>
    <x v="471"/>
    <s v="11 months ago"/>
    <m/>
    <m/>
    <m/>
    <x v="3"/>
    <m/>
    <m/>
    <m/>
    <m/>
  </r>
  <r>
    <n v="554"/>
    <x v="1"/>
    <m/>
    <m/>
    <s v="https://www.youtube.com/watch?v=WtWOT6Hj2vM"/>
    <s v="Controversies on Yoga's Appropriation &amp; Mis-appropriation by Westerners: Yogi Amrit Desai Part 3"/>
    <x v="18"/>
    <m/>
    <m/>
    <n v="2600"/>
    <x v="472"/>
    <s v="11 months ago"/>
    <m/>
    <m/>
    <m/>
    <x v="3"/>
    <m/>
    <m/>
    <m/>
    <m/>
  </r>
  <r>
    <n v="555"/>
    <x v="1"/>
    <m/>
    <m/>
    <s v="https://www.youtube.com/watch?v=3dYP3FhD3Po"/>
    <s v="How Yoga Helps Americans Solve Problems Like Addiction: Rajiv Interviews Yogi Amrit Desai Part 4"/>
    <x v="18"/>
    <m/>
    <m/>
    <n v="868"/>
    <x v="473"/>
    <s v="11 months ago"/>
    <m/>
    <m/>
    <m/>
    <x v="3"/>
    <m/>
    <m/>
    <m/>
    <m/>
  </r>
  <r>
    <n v="556"/>
    <x v="1"/>
    <m/>
    <m/>
    <s v="https://www.youtube.com/watch?v=FgVpxhtCQdA"/>
    <s v="Rajiv Malhotra with Yogi Amrit Desai: FULL Interview"/>
    <x v="18"/>
    <m/>
    <m/>
    <n v="3700"/>
    <x v="474"/>
    <s v="11 months ago"/>
    <m/>
    <m/>
    <m/>
    <x v="3"/>
    <m/>
    <m/>
    <m/>
    <m/>
  </r>
  <r>
    <n v="557"/>
    <x v="1"/>
    <m/>
    <m/>
    <s v="https://www.youtube.com/watch?v=07rLdtPRbEE"/>
    <s v="In Conversation with Swami Nithyananda: July 2016"/>
    <x v="18"/>
    <m/>
    <m/>
    <n v="6400"/>
    <x v="475"/>
    <s v="11 months ago"/>
    <m/>
    <m/>
    <m/>
    <x v="3"/>
    <m/>
    <m/>
    <m/>
    <m/>
  </r>
  <r>
    <n v="558"/>
    <x v="1"/>
    <m/>
    <m/>
    <s v="https://www.youtube.com/watch?v=n0Ekb7yhf18"/>
    <s v="Can Living Guru be Replaced by Technology? Rajiv's Dialogue with Yogi Amrit Desai - Part 5"/>
    <x v="18"/>
    <m/>
    <m/>
    <n v="704"/>
    <x v="66"/>
    <s v="11 months ago"/>
    <m/>
    <m/>
    <m/>
    <x v="3"/>
    <m/>
    <m/>
    <m/>
    <m/>
  </r>
  <r>
    <n v="559"/>
    <x v="1"/>
    <m/>
    <m/>
    <s v="https://www.youtube.com/watch?v=Pe53dUS_mHE"/>
    <s v="Society Must Be Detoxed By Force &amp; Intervention. Rajiv's Dialogue with Yogi Amrit Desai - Part 6"/>
    <x v="18"/>
    <m/>
    <m/>
    <n v="692"/>
    <x v="476"/>
    <s v="11 months ago"/>
    <m/>
    <m/>
    <m/>
    <x v="3"/>
    <m/>
    <m/>
    <m/>
    <m/>
  </r>
  <r>
    <n v="560"/>
    <x v="1"/>
    <m/>
    <m/>
    <s v="https://www.youtube.com/watch?v=fZLoHeGF4XI"/>
    <s v="Q&amp;A Rajiv Malhotra at Chinmaya Mission, DC"/>
    <x v="18"/>
    <m/>
    <m/>
    <n v="3600"/>
    <x v="477"/>
    <s v="11 months ago"/>
    <m/>
    <m/>
    <m/>
    <x v="3"/>
    <m/>
    <m/>
    <m/>
    <m/>
  </r>
  <r>
    <n v="561"/>
    <x v="1"/>
    <m/>
    <m/>
    <s v="https://www.youtube.com/watch?v=NaCx35vC5wg"/>
    <s v="JNU Plenary 2016: Assimilation of Tradition &amp; Modernity, Talk by Rajiv Malhotra"/>
    <x v="18"/>
    <m/>
    <m/>
    <n v="3000"/>
    <x v="478"/>
    <s v="11 months ago"/>
    <m/>
    <m/>
    <m/>
    <x v="3"/>
    <m/>
    <m/>
    <m/>
    <m/>
  </r>
  <r>
    <n v="562"/>
    <x v="1"/>
    <m/>
    <m/>
    <s v="https://www.youtube.com/watch?v=8M2LUwJGwHw"/>
    <s v="Rajiv Malhotra Addresses Common Misconceptions Regarding Various Darshanas in Sanatan Dharma #1"/>
    <x v="18"/>
    <m/>
    <m/>
    <n v="953"/>
    <x v="479"/>
    <s v="11 months ago"/>
    <m/>
    <m/>
    <m/>
    <x v="3"/>
    <m/>
    <m/>
    <m/>
    <m/>
  </r>
  <r>
    <n v="563"/>
    <x v="1"/>
    <m/>
    <m/>
    <s v="https://www.youtube.com/watch?v=4VaCcFKHkSY"/>
    <s v="Q&amp;A Hinduism vs Pagan Religions; Caste Divides; Open Architecture of Dharmic Traditions #2"/>
    <x v="18"/>
    <m/>
    <m/>
    <n v="851"/>
    <x v="247"/>
    <s v="11 months ago"/>
    <m/>
    <m/>
    <m/>
    <x v="3"/>
    <m/>
    <m/>
    <m/>
    <m/>
  </r>
  <r>
    <n v="564"/>
    <x v="1"/>
    <m/>
    <m/>
    <s v="https://www.youtube.com/watch?v=udkwSpjJnGk"/>
    <s v="Rajiv Malhotra's Call To Action For Correcting The Discourse On Hinduism &amp; Hindu Organizations. #3"/>
    <x v="18"/>
    <m/>
    <m/>
    <n v="454"/>
    <x v="480"/>
    <s v="11 months ago"/>
    <m/>
    <m/>
    <m/>
    <x v="3"/>
    <m/>
    <m/>
    <m/>
    <m/>
  </r>
  <r>
    <n v="565"/>
    <x v="1"/>
    <m/>
    <m/>
    <s v="https://www.youtube.com/watch?v=Z8Wd8i754cU"/>
    <s v="Misappropriation of Ancient Indian Ideas by The West; Value of Sanskrit; Aryan Dravidian Divide #4"/>
    <x v="18"/>
    <m/>
    <m/>
    <n v="979"/>
    <x v="481"/>
    <s v="11 months ago"/>
    <m/>
    <m/>
    <m/>
    <x v="3"/>
    <m/>
    <m/>
    <m/>
    <m/>
  </r>
  <r>
    <n v="566"/>
    <x v="1"/>
    <m/>
    <m/>
    <s v="https://www.youtube.com/watch?v=tlCqUXsDwDc"/>
    <s v="Western Collective Ego Remains Even After Individual Ego Is Surrendered: Rajiv with Amrit Desai #7"/>
    <x v="18"/>
    <m/>
    <m/>
    <n v="609"/>
    <x v="183"/>
    <s v="11 months ago"/>
    <m/>
    <m/>
    <m/>
    <x v="3"/>
    <m/>
    <m/>
    <m/>
    <m/>
  </r>
  <r>
    <n v="567"/>
    <x v="1"/>
    <m/>
    <m/>
    <s v="https://www.youtube.com/watch?v=aEAK6N982oQ"/>
    <s v="Deception &amp; Multigenerational Inculturation Strategy of the Church to Convert Hindus"/>
    <x v="18"/>
    <m/>
    <m/>
    <n v="1000"/>
    <x v="482"/>
    <s v="11 months ago"/>
    <m/>
    <m/>
    <m/>
    <x v="3"/>
    <m/>
    <m/>
    <m/>
    <m/>
  </r>
  <r>
    <n v="568"/>
    <x v="1"/>
    <m/>
    <m/>
    <s v="https://www.youtube.com/watch?v=aBwX_u__31I"/>
    <s v="History &amp; Contributions of the Jiva Goswami Tradition: Dialogue with Dr Satyanarayana Dasa #1"/>
    <x v="18"/>
    <m/>
    <m/>
    <n v="4800"/>
    <x v="483"/>
    <s v="11 months ago"/>
    <m/>
    <m/>
    <m/>
    <x v="3"/>
    <m/>
    <m/>
    <m/>
    <m/>
  </r>
  <r>
    <n v="569"/>
    <x v="1"/>
    <m/>
    <m/>
    <s v="https://www.youtube.com/watch?v=i24adZlRCZk"/>
    <s v="Can Dharmic &amp; Abrahamic Traditions be Reconciled? Rajiv in Dialogue with Dr Satyanarayana Dasa #2"/>
    <x v="18"/>
    <m/>
    <m/>
    <n v="3400"/>
    <x v="484"/>
    <s v="11 months ago"/>
    <m/>
    <m/>
    <m/>
    <x v="3"/>
    <m/>
    <m/>
    <m/>
    <m/>
  </r>
  <r>
    <n v="570"/>
    <x v="1"/>
    <m/>
    <m/>
    <s v="https://www.youtube.com/watch?v=KYhdz2LiDLA"/>
    <s v="American Myth Undergoing Latest Crisis, Needs Dharmic Missionaries. Rajiv with Yogi Amrit Desai #8"/>
    <x v="18"/>
    <m/>
    <m/>
    <n v="962"/>
    <x v="485"/>
    <s v="11 months ago"/>
    <m/>
    <m/>
    <m/>
    <x v="3"/>
    <m/>
    <m/>
    <m/>
    <m/>
  </r>
  <r>
    <n v="571"/>
    <x v="1"/>
    <m/>
    <m/>
    <s v="https://www.youtube.com/watch?v=BKG8mWyOvuw"/>
    <s v="Indian Spiritual Traditions Demand Discipline, Rigor &amp; Integrity: Dr Satyanarayana Dasa #3"/>
    <x v="18"/>
    <m/>
    <m/>
    <n v="2200"/>
    <x v="486"/>
    <s v="11 months ago"/>
    <m/>
    <m/>
    <m/>
    <x v="3"/>
    <m/>
    <m/>
    <m/>
    <m/>
  </r>
  <r>
    <n v="572"/>
    <x v="1"/>
    <m/>
    <m/>
    <s v="https://www.youtube.com/watch?v=bGDeGR7DrFw"/>
    <s v="How Gurus Must Prevent Collective U-Turns of Western Students. Rajiv's Dialogue with Yogi Amrit #9"/>
    <x v="18"/>
    <m/>
    <m/>
    <n v="641"/>
    <x v="487"/>
    <s v="11 months ago"/>
    <m/>
    <m/>
    <m/>
    <x v="3"/>
    <m/>
    <m/>
    <m/>
    <m/>
  </r>
  <r>
    <n v="573"/>
    <x v="1"/>
    <m/>
    <m/>
    <s v="https://www.youtube.com/watch?v=BsEY7XJTv70"/>
    <s v="Provocative Speculation: Are Many Hindus Unfit for Hinduism? Rajiv with Dr Satyanarayana Dasa #4"/>
    <x v="18"/>
    <m/>
    <m/>
    <n v="1100"/>
    <x v="320"/>
    <s v="11 months ago"/>
    <m/>
    <m/>
    <m/>
    <x v="3"/>
    <m/>
    <m/>
    <m/>
    <m/>
  </r>
  <r>
    <n v="574"/>
    <x v="1"/>
    <m/>
    <m/>
    <s v="https://www.youtube.com/watch?v=Kfvmj7QyAfQ"/>
    <s v="In Conversation with Francois Gautier"/>
    <x v="18"/>
    <m/>
    <m/>
    <n v="14000"/>
    <x v="488"/>
    <s v="10 months ago"/>
    <m/>
    <m/>
    <m/>
    <x v="3"/>
    <m/>
    <m/>
    <m/>
    <m/>
  </r>
  <r>
    <n v="575"/>
    <x v="1"/>
    <m/>
    <m/>
    <s v="https://www.youtube.com/watch?v=C6XbkLOcyVs"/>
    <s v="Dharma and Well-being, New Jersey 2016"/>
    <x v="18"/>
    <m/>
    <m/>
    <n v="2700"/>
    <x v="489"/>
    <s v="10 months ago"/>
    <m/>
    <m/>
    <m/>
    <x v="3"/>
    <m/>
    <m/>
    <m/>
    <m/>
  </r>
  <r>
    <n v="576"/>
    <x v="1"/>
    <m/>
    <m/>
    <s v="https://www.youtube.com/watch?v=ANDhhofT1w0"/>
    <s v="Keynote at DCF Fundraiser in Los Angeles, 2016"/>
    <x v="18"/>
    <m/>
    <m/>
    <n v="2400"/>
    <x v="490"/>
    <s v="10 months ago"/>
    <m/>
    <m/>
    <m/>
    <x v="3"/>
    <m/>
    <m/>
    <m/>
    <m/>
  </r>
  <r>
    <n v="577"/>
    <x v="1"/>
    <m/>
    <m/>
    <s v="https://www.youtube.com/watch?v=qiir-ZWT6yI"/>
    <s v="What are the chances that Liberal Muslims will call for a Reformation of Islam: Rajiv Malhotra"/>
    <x v="18"/>
    <m/>
    <m/>
    <n v="1300"/>
    <x v="390"/>
    <s v="10 months ago"/>
    <m/>
    <m/>
    <m/>
    <x v="3"/>
    <m/>
    <m/>
    <m/>
    <m/>
  </r>
  <r>
    <n v="578"/>
    <x v="1"/>
    <m/>
    <m/>
    <s v="https://www.youtube.com/watch?v=wEalKzas5Ig"/>
    <s v="FACEBOOK HQ: Vedic Consciousness &amp; it's Relation to Modern Technology"/>
    <x v="18"/>
    <m/>
    <m/>
    <n v="6500"/>
    <x v="459"/>
    <s v="10 months ago"/>
    <m/>
    <m/>
    <m/>
    <x v="3"/>
    <m/>
    <m/>
    <m/>
    <m/>
  </r>
  <r>
    <n v="579"/>
    <x v="1"/>
    <m/>
    <m/>
    <s v="https://www.youtube.com/watch?v=6PUBS8MXVzc"/>
    <s v="Academic Hinduphobia Book Launch, by Dr Subramanian Swamy"/>
    <x v="18"/>
    <m/>
    <m/>
    <n v="7900"/>
    <x v="491"/>
    <s v="10 months ago"/>
    <m/>
    <m/>
    <m/>
    <x v="3"/>
    <m/>
    <m/>
    <m/>
    <m/>
  </r>
  <r>
    <n v="580"/>
    <x v="1"/>
    <m/>
    <m/>
    <s v="https://www.youtube.com/watch?v=HmKETjjGv0E"/>
    <s v="Hinduphobia of The Indian Left is a Combination of Many Factors: Rajiv Malhotra #5"/>
    <x v="18"/>
    <m/>
    <m/>
    <n v="520"/>
    <x v="188"/>
    <s v="10 months ago"/>
    <m/>
    <m/>
    <m/>
    <x v="3"/>
    <m/>
    <m/>
    <m/>
    <m/>
  </r>
  <r>
    <n v="581"/>
    <x v="1"/>
    <m/>
    <m/>
    <s v="https://www.youtube.com/watch?v=vTz9mFEgYQU"/>
    <s v="Can We Use Guna System To Classify Western Indologists: Rajiv Malhotra #2"/>
    <x v="18"/>
    <m/>
    <m/>
    <n v="658"/>
    <x v="492"/>
    <s v="10 months ago"/>
    <m/>
    <m/>
    <m/>
    <x v="3"/>
    <m/>
    <m/>
    <m/>
    <m/>
  </r>
  <r>
    <n v="582"/>
    <x v="1"/>
    <m/>
    <m/>
    <s v="https://www.youtube.com/watch?v=B1KtIwSP4_U"/>
    <s v="Intellectual &amp; Emotional Kshatriyas, Both Can Help Dharma &amp; India: Rajiv Malhotra #6"/>
    <x v="18"/>
    <m/>
    <m/>
    <n v="457"/>
    <x v="427"/>
    <s v="10 months ago"/>
    <m/>
    <m/>
    <m/>
    <x v="3"/>
    <m/>
    <m/>
    <m/>
    <m/>
  </r>
  <r>
    <n v="583"/>
    <x v="1"/>
    <m/>
    <m/>
    <s v="https://www.youtube.com/watch?v=nUfn2eRsHgo"/>
    <s v="Western Study of Sanskrit Misstates Our Sanskriti &amp; Conceals Facts: Rajiv Malhotra #7"/>
    <x v="18"/>
    <m/>
    <m/>
    <n v="689"/>
    <x v="158"/>
    <s v="10 months ago"/>
    <m/>
    <m/>
    <m/>
    <x v="3"/>
    <m/>
    <m/>
    <m/>
    <m/>
  </r>
  <r>
    <n v="584"/>
    <x v="1"/>
    <m/>
    <m/>
    <s v="https://www.youtube.com/watch?v=sGXLoCpynsU"/>
    <s v="Insiders Vs Outsiders — Who should have ‘Adhikara’ as Experts on Sanskrit: Rajiv Malhotra #3"/>
    <x v="18"/>
    <m/>
    <m/>
    <n v="422"/>
    <x v="230"/>
    <s v="10 months ago"/>
    <m/>
    <m/>
    <m/>
    <x v="3"/>
    <m/>
    <m/>
    <m/>
    <m/>
  </r>
  <r>
    <n v="585"/>
    <x v="1"/>
    <m/>
    <m/>
    <s v="https://www.youtube.com/watch?v=Nattb-ZPK4g"/>
    <s v="I am trying to Provoke the 'Insiders' to Protect our Sanskriti: Rajiv Malhotra #4"/>
    <x v="18"/>
    <m/>
    <m/>
    <n v="393"/>
    <x v="380"/>
    <s v="10 months ago"/>
    <m/>
    <m/>
    <m/>
    <x v="3"/>
    <m/>
    <m/>
    <m/>
    <m/>
  </r>
  <r>
    <n v="586"/>
    <x v="1"/>
    <m/>
    <m/>
    <s v="https://www.youtube.com/watch?v=EfQbirNpLM8"/>
    <s v="Murty Classical Library Translations Not Reviewed by Traditional Sanskrit Scholars' Panel #1"/>
    <x v="18"/>
    <m/>
    <m/>
    <n v="397"/>
    <x v="60"/>
    <s v="10 months ago"/>
    <m/>
    <m/>
    <m/>
    <x v="3"/>
    <m/>
    <m/>
    <m/>
    <m/>
  </r>
  <r>
    <n v="587"/>
    <x v="1"/>
    <m/>
    <m/>
    <s v="https://www.youtube.com/watch?v=zNgyoAjVDhk"/>
    <s v="Don't Be Deceived by Western Culture which is Celebrated by Media: Rajiv Malhotra #8"/>
    <x v="18"/>
    <m/>
    <m/>
    <n v="1000"/>
    <x v="406"/>
    <s v="10 months ago"/>
    <m/>
    <m/>
    <m/>
    <x v="3"/>
    <m/>
    <m/>
    <m/>
    <m/>
  </r>
  <r>
    <n v="588"/>
    <x v="1"/>
    <m/>
    <m/>
    <s v="https://www.youtube.com/watch?v=6WJO3QlTEpg"/>
    <s v="Lack of Support for Rigorous Indology Research Such as that by Shrikant Talageri: Rajiv Malhotra #9"/>
    <x v="18"/>
    <m/>
    <m/>
    <n v="506"/>
    <x v="493"/>
    <s v="10 months ago"/>
    <m/>
    <m/>
    <m/>
    <x v="3"/>
    <m/>
    <m/>
    <m/>
    <m/>
  </r>
  <r>
    <n v="589"/>
    <x v="1"/>
    <m/>
    <m/>
    <s v="https://www.youtube.com/watch?v=9qgkONu6nbk"/>
    <s v="Knowing Hindu History: Rajiv Malhotra FULL Lecture, Duke University USA"/>
    <x v="18"/>
    <m/>
    <m/>
    <n v="25000"/>
    <x v="494"/>
    <s v="10 months ago"/>
    <m/>
    <m/>
    <m/>
    <x v="3"/>
    <m/>
    <m/>
    <m/>
    <m/>
  </r>
  <r>
    <n v="590"/>
    <x v="1"/>
    <m/>
    <m/>
    <s v="https://www.youtube.com/watch?v=k8zAYJDE01E"/>
    <s v="Genocide &amp; Slavery Were Foundations of the so called 'Modernity Era' of Europe &amp; USA #10"/>
    <x v="18"/>
    <m/>
    <m/>
    <n v="922"/>
    <x v="495"/>
    <s v="10 months ago"/>
    <m/>
    <m/>
    <m/>
    <x v="3"/>
    <m/>
    <m/>
    <m/>
    <m/>
  </r>
  <r>
    <n v="591"/>
    <x v="1"/>
    <m/>
    <m/>
    <s v="https://www.youtube.com/watch?v=Qh0tc43apsI"/>
    <s v="Hindu Contributions in the Cognitive Sciences: Rajiv at Duke University #1"/>
    <x v="18"/>
    <m/>
    <m/>
    <n v="931"/>
    <x v="496"/>
    <s v="9 months ago"/>
    <m/>
    <m/>
    <m/>
    <x v="3"/>
    <m/>
    <m/>
    <m/>
    <m/>
  </r>
  <r>
    <n v="592"/>
    <x v="1"/>
    <m/>
    <m/>
    <s v="https://www.youtube.com/watch?v=B3K5KRgT0oE"/>
    <s v="Sanskrit is Foundation of Linguistics &amp; Computation: Rajiv at Duke University #2"/>
    <x v="18"/>
    <m/>
    <m/>
    <n v="799"/>
    <x v="497"/>
    <s v="9 months ago"/>
    <m/>
    <m/>
    <m/>
    <x v="3"/>
    <m/>
    <m/>
    <m/>
    <m/>
  </r>
  <r>
    <n v="593"/>
    <x v="1"/>
    <m/>
    <m/>
    <s v="https://www.youtube.com/watch?v=MqvZxu1TaSQ"/>
    <s v="Digestion and the Doctrine of Christian Discovery #3"/>
    <x v="18"/>
    <m/>
    <m/>
    <n v="783"/>
    <x v="498"/>
    <s v="9 months ago"/>
    <m/>
    <m/>
    <m/>
    <x v="3"/>
    <m/>
    <m/>
    <m/>
    <m/>
  </r>
  <r>
    <n v="594"/>
    <x v="1"/>
    <m/>
    <m/>
    <s v="https://www.youtube.com/watch?v=SmB_GUlrfzk"/>
    <s v="Hindu Society was Not Otherworldly; India has been an Important Part of World History #4"/>
    <x v="18"/>
    <m/>
    <m/>
    <n v="1000"/>
    <x v="499"/>
    <s v="9 months ago"/>
    <m/>
    <m/>
    <m/>
    <x v="3"/>
    <m/>
    <m/>
    <m/>
    <m/>
  </r>
  <r>
    <n v="595"/>
    <x v="1"/>
    <m/>
    <m/>
    <s v="https://www.youtube.com/watch?v=YtD-Ro9OJRQ"/>
    <s v="In Conversation with Sri Sri Ravi Shankar"/>
    <x v="18"/>
    <m/>
    <m/>
    <n v="13000"/>
    <x v="500"/>
    <s v="9 months ago"/>
    <m/>
    <m/>
    <m/>
    <x v="3"/>
    <m/>
    <m/>
    <m/>
    <m/>
  </r>
  <r>
    <n v="596"/>
    <x v="1"/>
    <m/>
    <m/>
    <s v="https://www.youtube.com/watch?v=m1RnPcyk_e0"/>
    <s v="In Conversation with Dr. Nagaswamy, Eminent Archaeologist &amp; Scholar #23"/>
    <x v="18"/>
    <m/>
    <m/>
    <n v="20000"/>
    <x v="501"/>
    <s v="9 months ago"/>
    <m/>
    <m/>
    <m/>
    <x v="3"/>
    <m/>
    <m/>
    <m/>
    <m/>
  </r>
  <r>
    <n v="597"/>
    <x v="1"/>
    <m/>
    <m/>
    <s v="https://www.youtube.com/watch?v=MFeGLeUGf6Q"/>
    <s v="Current State of De-colonizing is Incomplete - Lokmanthan 2016, Bhopal"/>
    <x v="18"/>
    <m/>
    <m/>
    <n v="5600"/>
    <x v="502"/>
    <s v="9 months ago"/>
    <m/>
    <m/>
    <m/>
    <x v="3"/>
    <m/>
    <m/>
    <m/>
    <m/>
  </r>
  <r>
    <n v="598"/>
    <x v="1"/>
    <m/>
    <m/>
    <s v="https://www.youtube.com/watch?v=ZkrWcJXqbGA"/>
    <s v="Historical Evidence: Hindu Tradition Is Progressive, Not Regressive #6"/>
    <x v="18"/>
    <m/>
    <m/>
    <n v="909"/>
    <x v="503"/>
    <s v="9 months ago"/>
    <m/>
    <m/>
    <m/>
    <x v="3"/>
    <m/>
    <m/>
    <m/>
    <m/>
  </r>
  <r>
    <n v="599"/>
    <x v="1"/>
    <m/>
    <m/>
    <s v="https://www.youtube.com/watch?v=ZoDHsv06lNI"/>
    <s v="Sanskrit &amp; Sanskriti Are Being Secularized and their History Being Falsified #11"/>
    <x v="18"/>
    <m/>
    <m/>
    <n v="366"/>
    <x v="504"/>
    <s v="9 months ago"/>
    <m/>
    <m/>
    <m/>
    <x v="3"/>
    <m/>
    <m/>
    <m/>
    <m/>
  </r>
  <r>
    <n v="600"/>
    <x v="1"/>
    <m/>
    <m/>
    <s v="https://www.youtube.com/watch?v=j53ZVDx4pYc"/>
    <s v="In Medieval Times Arabs Embraced Indian Science &amp; Spread it to Europe #5"/>
    <x v="18"/>
    <m/>
    <m/>
    <n v="559"/>
    <x v="376"/>
    <s v="9 months ago"/>
    <m/>
    <m/>
    <m/>
    <x v="3"/>
    <m/>
    <m/>
    <m/>
    <m/>
  </r>
  <r>
    <n v="601"/>
    <x v="1"/>
    <m/>
    <m/>
    <s v="https://www.youtube.com/watch?v=ZI3BJk08OWI"/>
    <s v="Spanish Queen was a &quot;Venture Capitalist&quot; who Funded Columbus to Find a New Sea Route to India #7"/>
    <x v="18"/>
    <m/>
    <m/>
    <n v="511"/>
    <x v="505"/>
    <s v="9 months ago"/>
    <m/>
    <m/>
    <m/>
    <x v="3"/>
    <m/>
    <m/>
    <m/>
    <m/>
  </r>
  <r>
    <n v="602"/>
    <x v="1"/>
    <m/>
    <m/>
    <s v="https://www.youtube.com/watch?v=84agoVdaycE"/>
    <s v="Why Digestion Is the Greatest Threat to Hinduism: Rajiv at Duke University #8"/>
    <x v="18"/>
    <m/>
    <m/>
    <n v="1000"/>
    <x v="506"/>
    <s v="9 months ago"/>
    <m/>
    <m/>
    <m/>
    <x v="3"/>
    <m/>
    <m/>
    <m/>
    <m/>
  </r>
  <r>
    <n v="603"/>
    <x v="1"/>
    <m/>
    <m/>
    <s v="https://www.youtube.com/watch?v=sLe31yV0Fb4"/>
    <s v="Is There Any Practical Utility of Sanskrit? #1"/>
    <x v="18"/>
    <m/>
    <m/>
    <n v="1000"/>
    <x v="507"/>
    <s v="9 months ago"/>
    <m/>
    <m/>
    <m/>
    <x v="3"/>
    <m/>
    <m/>
    <m/>
    <m/>
  </r>
  <r>
    <n v="604"/>
    <x v="1"/>
    <m/>
    <m/>
    <s v="https://www.youtube.com/watch?v=0gtyqapBB3A"/>
    <s v="Reviving the Vedic Learning Methods in Children: Rajiv Malhotra #3"/>
    <x v="18"/>
    <m/>
    <m/>
    <n v="1700"/>
    <x v="508"/>
    <s v="9 months ago"/>
    <m/>
    <m/>
    <m/>
    <x v="3"/>
    <m/>
    <m/>
    <m/>
    <m/>
  </r>
  <r>
    <n v="605"/>
    <x v="1"/>
    <m/>
    <m/>
    <s v="https://www.youtube.com/watch?v=EKyX0QsZVJc"/>
    <s v="Vernacular Languages in India Played a Hyphenated Role Along Side With Sanskrit #4"/>
    <x v="18"/>
    <m/>
    <m/>
    <n v="429"/>
    <x v="309"/>
    <s v="9 months ago"/>
    <m/>
    <m/>
    <m/>
    <x v="3"/>
    <m/>
    <m/>
    <m/>
    <m/>
  </r>
  <r>
    <n v="606"/>
    <x v="1"/>
    <m/>
    <m/>
    <s v="https://www.youtube.com/watch?v=DrTFGS7SoCg"/>
    <s v="Sufism is a &quot;Soft&quot; Conversion to Islam: Rajiv Malhotra #5"/>
    <x v="18"/>
    <m/>
    <m/>
    <n v="2100"/>
    <x v="507"/>
    <s v="9 months ago"/>
    <m/>
    <m/>
    <m/>
    <x v="3"/>
    <m/>
    <m/>
    <m/>
    <m/>
  </r>
  <r>
    <n v="607"/>
    <x v="1"/>
    <m/>
    <m/>
    <s v="https://www.youtube.com/watch?v=J2Z6w1bXfYc"/>
    <s v="The Fight Is With Charvakas 2.0, Not with Buddhism or Other Dharmic Traditions #6"/>
    <x v="18"/>
    <m/>
    <m/>
    <n v="468"/>
    <x v="352"/>
    <s v="9 months ago"/>
    <m/>
    <m/>
    <m/>
    <x v="3"/>
    <m/>
    <m/>
    <m/>
    <m/>
  </r>
  <r>
    <n v="608"/>
    <x v="1"/>
    <m/>
    <m/>
    <s v="https://www.youtube.com/watch?v=1jVMegap8Ws"/>
    <s v="Samskrita Bharati Teaches Sanskrit by Immersion, Not by Grammar: Rajiv Malhotra #8"/>
    <x v="18"/>
    <m/>
    <m/>
    <n v="833"/>
    <x v="509"/>
    <s v="9 months ago"/>
    <m/>
    <m/>
    <m/>
    <x v="3"/>
    <m/>
    <m/>
    <m/>
    <m/>
  </r>
  <r>
    <n v="609"/>
    <x v="1"/>
    <m/>
    <m/>
    <s v="https://www.youtube.com/watch?v=4W3kmjNG_K8"/>
    <s v="In Conversation With General GD Bakshi"/>
    <x v="18"/>
    <m/>
    <m/>
    <n v="32000"/>
    <x v="510"/>
    <s v="9 months ago"/>
    <m/>
    <m/>
    <m/>
    <x v="3"/>
    <m/>
    <m/>
    <m/>
    <m/>
  </r>
  <r>
    <n v="610"/>
    <x v="1"/>
    <m/>
    <m/>
    <s v="https://www.youtube.com/watch?v=8usGAaPq-WY"/>
    <s v="Response to a Young Post Modernist by Rajiv Malhotra"/>
    <x v="18"/>
    <m/>
    <m/>
    <n v="14000"/>
    <x v="473"/>
    <s v="9 months ago"/>
    <m/>
    <m/>
    <m/>
    <x v="3"/>
    <m/>
    <m/>
    <m/>
    <m/>
  </r>
  <r>
    <n v="611"/>
    <x v="1"/>
    <m/>
    <m/>
    <s v="https://www.youtube.com/watch?v=RfiT3REVHxQ"/>
    <s v="Influences of Vedic Tradition on Accelerated Educational Systems like Montessori and Waldorf #9"/>
    <x v="18"/>
    <m/>
    <m/>
    <n v="617"/>
    <x v="506"/>
    <s v="9 months ago"/>
    <m/>
    <m/>
    <m/>
    <x v="3"/>
    <m/>
    <m/>
    <m/>
    <m/>
  </r>
  <r>
    <n v="612"/>
    <x v="1"/>
    <m/>
    <m/>
    <s v="https://www.youtube.com/watch?v=r0tSX3M-7oM&amp;t=41s"/>
    <s v="Times LitFest Delhi: How Will India Deal with President Trump"/>
    <x v="18"/>
    <m/>
    <m/>
    <n v="8200"/>
    <x v="511"/>
    <s v="9 months ago"/>
    <m/>
    <m/>
    <m/>
    <x v="3"/>
    <m/>
    <m/>
    <m/>
    <m/>
  </r>
  <r>
    <n v="613"/>
    <x v="1"/>
    <m/>
    <m/>
    <s v="https://www.youtube.com/watch?v=9hi4MG3BU0Y"/>
    <s v="Deep Malaise Of Aspirational Whiteness in India: Rajiv at Duke Univ #10"/>
    <x v="18"/>
    <m/>
    <m/>
    <n v="878"/>
    <x v="512"/>
    <s v="9 months ago"/>
    <m/>
    <m/>
    <m/>
    <x v="3"/>
    <m/>
    <m/>
    <m/>
    <m/>
  </r>
  <r>
    <n v="614"/>
    <x v="1"/>
    <m/>
    <m/>
    <s v="https://www.youtube.com/watch?v=uiJHx80DJcw"/>
    <s v="What is Hindutva: Rajiv at Duke University #11"/>
    <x v="18"/>
    <m/>
    <m/>
    <n v="2700"/>
    <x v="513"/>
    <s v="9 months ago"/>
    <m/>
    <m/>
    <m/>
    <x v="3"/>
    <m/>
    <m/>
    <m/>
    <m/>
  </r>
  <r>
    <n v="615"/>
    <x v="1"/>
    <m/>
    <m/>
    <s v="https://www.youtube.com/watch?v=XWeFa6jUiPw"/>
    <s v="Talk on Swadeshi Indology at IGNCA, New Delhi"/>
    <x v="18"/>
    <m/>
    <m/>
    <n v="4300"/>
    <x v="514"/>
    <s v="9 months ago"/>
    <m/>
    <m/>
    <m/>
    <x v="3"/>
    <m/>
    <m/>
    <m/>
    <m/>
  </r>
  <r>
    <n v="616"/>
    <x v="1"/>
    <m/>
    <m/>
    <s v="https://www.youtube.com/watch?v=Y5sHrOViVq0"/>
    <s v="In Conversation with Dr. Sonal Mansingh"/>
    <x v="18"/>
    <m/>
    <m/>
    <n v="8900"/>
    <x v="515"/>
    <s v="8 months ago"/>
    <m/>
    <m/>
    <m/>
    <x v="3"/>
    <m/>
    <m/>
    <m/>
    <m/>
  </r>
  <r>
    <n v="617"/>
    <x v="1"/>
    <m/>
    <m/>
    <s v="https://www.youtube.com/watch?v=SNAHZpRl3go"/>
    <s v="A Discussion with Nithyananda: on God vs. Sadashiva, Why Wear Gold, Attacks against Hinduism &amp; More"/>
    <x v="18"/>
    <m/>
    <m/>
    <n v="72000"/>
    <x v="516"/>
    <s v="8 months ago"/>
    <m/>
    <m/>
    <m/>
    <x v="3"/>
    <m/>
    <m/>
    <m/>
    <m/>
  </r>
  <r>
    <n v="618"/>
    <x v="1"/>
    <m/>
    <m/>
    <s v="https://www.youtube.com/watch?v=kDDNkLWPpUc"/>
    <s v="Dialogue with Prof R Vaidyanathan, IIM Bangalore - Caste System"/>
    <x v="18"/>
    <m/>
    <m/>
    <n v="12000"/>
    <x v="517"/>
    <s v="8 months ago"/>
    <m/>
    <m/>
    <m/>
    <x v="3"/>
    <m/>
    <m/>
    <m/>
    <m/>
  </r>
  <r>
    <n v="619"/>
    <x v="1"/>
    <m/>
    <m/>
    <s v="https://www.youtube.com/watch?v=Vrv16kSoTLQ"/>
    <s v="Aagamas are As Central to Hinduism As Vedas #1"/>
    <x v="18"/>
    <m/>
    <m/>
    <n v="657"/>
    <x v="518"/>
    <s v="8 months ago"/>
    <m/>
    <m/>
    <m/>
    <x v="3"/>
    <m/>
    <m/>
    <m/>
    <m/>
  </r>
  <r>
    <n v="620"/>
    <x v="1"/>
    <m/>
    <m/>
    <s v="https://www.youtube.com/watch?v=1k_PbRxkEqo"/>
    <s v="Acārya Abhinavagupta Initiated Adi Shankaracharya Into Aagamas #2"/>
    <x v="18"/>
    <m/>
    <m/>
    <n v="624"/>
    <x v="519"/>
    <s v="8 months ago"/>
    <m/>
    <m/>
    <m/>
    <x v="3"/>
    <m/>
    <m/>
    <m/>
    <m/>
  </r>
  <r>
    <n v="621"/>
    <x v="1"/>
    <m/>
    <m/>
    <s v="https://www.youtube.com/watch?v=JZ7LHVZfMwM"/>
    <s v="Are Neo Vedantins Justified in Demeaning Rituals #3"/>
    <x v="18"/>
    <m/>
    <m/>
    <n v="461"/>
    <x v="21"/>
    <s v="8 months ago"/>
    <m/>
    <m/>
    <m/>
    <x v="3"/>
    <m/>
    <m/>
    <m/>
    <m/>
  </r>
  <r>
    <n v="622"/>
    <x v="1"/>
    <m/>
    <m/>
    <s v="https://www.youtube.com/watch?v=-pTe3fDFF7U"/>
    <s v="Aagamas Not Separate Set of Scriptures but Part of Vedas, Correct Nomenclature is &quot;Vedaagamas&quot; #4"/>
    <x v="18"/>
    <m/>
    <m/>
    <n v="369"/>
    <x v="209"/>
    <s v="8 months ago"/>
    <m/>
    <m/>
    <m/>
    <x v="3"/>
    <m/>
    <m/>
    <m/>
    <m/>
  </r>
  <r>
    <n v="623"/>
    <x v="1"/>
    <m/>
    <m/>
    <s v="https://www.youtube.com/watch?v=HzuZ57Y3-VQ"/>
    <s v="Atma Pramana Alone Does Not Confer the Adhikara to Impart Teachings of Sanatana Hindu Dharma #5"/>
    <x v="18"/>
    <m/>
    <m/>
    <n v="554"/>
    <x v="520"/>
    <s v="8 months ago"/>
    <m/>
    <m/>
    <m/>
    <x v="3"/>
    <m/>
    <m/>
    <m/>
    <m/>
  </r>
  <r>
    <n v="624"/>
    <x v="1"/>
    <m/>
    <m/>
    <s v="https://www.youtube.com/watch?v=b96t52xbmO8"/>
    <s v="Dialogue with Dr. HR Nagendra, President VYASA, Bangalore"/>
    <x v="18"/>
    <m/>
    <m/>
    <n v="8500"/>
    <x v="521"/>
    <s v="8 months ago"/>
    <m/>
    <m/>
    <m/>
    <x v="3"/>
    <m/>
    <m/>
    <m/>
    <m/>
  </r>
  <r>
    <n v="625"/>
    <x v="1"/>
    <m/>
    <m/>
    <s v="https://www.youtube.com/watch?v=6M1Mp5tvk-E"/>
    <s v="Translating Hindu Itihasa to &quot;Myth&quot; Demeans &amp; Undermines Hindu Culture #6"/>
    <x v="18"/>
    <m/>
    <m/>
    <n v="686"/>
    <x v="522"/>
    <s v="8 months ago"/>
    <m/>
    <m/>
    <m/>
    <x v="3"/>
    <m/>
    <m/>
    <m/>
    <m/>
  </r>
  <r>
    <n v="626"/>
    <x v="1"/>
    <m/>
    <m/>
    <s v="https://www.youtube.com/watch?v=LAZPY_rTJLU"/>
    <s v="Bangalore Literature Festival 2016 - India Reclaiming Our Civilization's Heritage"/>
    <x v="18"/>
    <m/>
    <m/>
    <n v="7100"/>
    <x v="523"/>
    <s v="8 months ago"/>
    <m/>
    <m/>
    <m/>
    <x v="3"/>
    <m/>
    <m/>
    <m/>
    <m/>
  </r>
  <r>
    <n v="627"/>
    <x v="1"/>
    <m/>
    <m/>
    <s v="https://www.youtube.com/watch?v=13shkRG4RMc"/>
    <s v="The Tree of Yoga is Rooted in Sanatana Hindu Dharma #7"/>
    <x v="18"/>
    <m/>
    <m/>
    <n v="265"/>
    <x v="524"/>
    <s v="8 months ago"/>
    <m/>
    <m/>
    <m/>
    <x v="3"/>
    <m/>
    <m/>
    <m/>
    <m/>
  </r>
  <r>
    <n v="628"/>
    <x v="1"/>
    <m/>
    <m/>
    <s v="https://www.youtube.com/watch?v=lnII4AH2rHw"/>
    <s v="Why Outsiders Like Pollock &amp; Doniger DO NOT Have Adhikara To Translate Hindu Shastra #8"/>
    <x v="18"/>
    <m/>
    <m/>
    <n v="476"/>
    <x v="525"/>
    <s v="8 months ago"/>
    <m/>
    <m/>
    <m/>
    <x v="3"/>
    <m/>
    <m/>
    <m/>
    <m/>
  </r>
  <r>
    <n v="629"/>
    <x v="1"/>
    <m/>
    <m/>
    <s v="https://www.youtube.com/watch?v=az7GJp1YAXw"/>
    <s v="Swami Nithyananda's Vision of a Theme Park Which Will Be a 'Living Presentation' of Vedic Culture #9"/>
    <x v="18"/>
    <m/>
    <m/>
    <n v="359"/>
    <x v="371"/>
    <s v="8 months ago"/>
    <m/>
    <m/>
    <m/>
    <x v="3"/>
    <m/>
    <m/>
    <m/>
    <m/>
  </r>
  <r>
    <n v="630"/>
    <x v="1"/>
    <m/>
    <m/>
    <s v="https://www.youtube.com/watch?v=_zmgXM40afU"/>
    <s v="Angkor Wat Was Built As a Mandala For The Whole Hindu Civilization #10"/>
    <x v="18"/>
    <m/>
    <m/>
    <n v="522"/>
    <x v="193"/>
    <s v="8 months ago"/>
    <m/>
    <m/>
    <m/>
    <x v="3"/>
    <m/>
    <m/>
    <m/>
    <m/>
  </r>
  <r>
    <n v="631"/>
    <x v="1"/>
    <m/>
    <m/>
    <s v="https://www.youtube.com/watch?v=IS6hRiM7WuU"/>
    <s v="Banning of Puja &amp; Rituals Shows ASI's Disregard for Sacredness In Indian Culture #11"/>
    <x v="18"/>
    <m/>
    <m/>
    <n v="403"/>
    <x v="332"/>
    <s v="8 months ago"/>
    <m/>
    <m/>
    <m/>
    <x v="3"/>
    <m/>
    <m/>
    <m/>
    <m/>
  </r>
  <r>
    <n v="632"/>
    <x v="1"/>
    <m/>
    <m/>
    <s v="https://www.youtube.com/watch?v=-c4KLljIDeo"/>
    <s v="Flaws in the Chronology of Western Indologists #12"/>
    <x v="18"/>
    <m/>
    <m/>
    <n v="499"/>
    <x v="526"/>
    <s v="8 months ago"/>
    <m/>
    <m/>
    <m/>
    <x v="3"/>
    <m/>
    <m/>
    <m/>
    <m/>
  </r>
  <r>
    <n v="633"/>
    <x v="1"/>
    <m/>
    <m/>
    <s v="https://www.youtube.com/watch?v=6KN0GnYv6xQ"/>
    <s v="Lack of Shastra Vidya Contributed to the Decline of Pagan Civilizations #13"/>
    <x v="18"/>
    <m/>
    <m/>
    <n v="390"/>
    <x v="406"/>
    <s v="8 months ago"/>
    <m/>
    <m/>
    <m/>
    <x v="3"/>
    <m/>
    <m/>
    <m/>
    <m/>
  </r>
  <r>
    <n v="634"/>
    <x v="1"/>
    <m/>
    <m/>
    <s v="https://www.youtube.com/watch?v=GP0JLpTLOWU"/>
    <s v="Distinction Between a Living Guru and a Deity #14"/>
    <x v="18"/>
    <m/>
    <m/>
    <n v="275"/>
    <x v="527"/>
    <s v="8 months ago"/>
    <m/>
    <m/>
    <m/>
    <x v="3"/>
    <m/>
    <m/>
    <m/>
    <m/>
  </r>
  <r>
    <n v="635"/>
    <x v="1"/>
    <m/>
    <m/>
    <s v="https://www.youtube.com/watch?v=OdRuRzl5pwg"/>
    <s v="Existence of Shiv Avatar Hanuman in Vaishnav Text of Ramayana is Not a Paradox #15"/>
    <x v="18"/>
    <m/>
    <m/>
    <n v="822"/>
    <x v="133"/>
    <s v="8 months ago"/>
    <m/>
    <m/>
    <m/>
    <x v="3"/>
    <m/>
    <m/>
    <m/>
    <m/>
  </r>
  <r>
    <n v="636"/>
    <x v="1"/>
    <m/>
    <m/>
    <s v="https://www.youtube.com/watch?v=ImpfhngYCCA"/>
    <s v="In Conversation with Shri Chamu Krishna Shastry"/>
    <x v="18"/>
    <m/>
    <m/>
    <n v="2200"/>
    <x v="528"/>
    <s v="8 months ago"/>
    <m/>
    <m/>
    <m/>
    <x v="3"/>
    <m/>
    <m/>
    <m/>
    <m/>
  </r>
  <r>
    <n v="637"/>
    <x v="1"/>
    <m/>
    <m/>
    <s v="https://www.youtube.com/watch?v=p08RUDejFXs"/>
    <s v="God Particle, Shaktinipat (Quantum Entanglement), Divinity in Matter #17"/>
    <x v="18"/>
    <m/>
    <m/>
    <n v="1300"/>
    <x v="400"/>
    <s v="8 months ago"/>
    <m/>
    <m/>
    <m/>
    <x v="3"/>
    <m/>
    <m/>
    <m/>
    <m/>
  </r>
  <r>
    <n v="638"/>
    <x v="1"/>
    <m/>
    <m/>
    <s v="https://www.youtube.com/watch?v=NpCmOPhka6g"/>
    <s v="Difference Between the Spiritual Process of Siddhis and Shaktis #18"/>
    <x v="18"/>
    <m/>
    <m/>
    <n v="481"/>
    <x v="398"/>
    <s v="8 months ago"/>
    <m/>
    <m/>
    <m/>
    <x v="3"/>
    <m/>
    <m/>
    <m/>
    <m/>
  </r>
  <r>
    <n v="639"/>
    <x v="1"/>
    <m/>
    <m/>
    <s v="https://www.youtube.com/watch?v=Iz3TO-dXkSI"/>
    <s v="Journalists are the Furthest Away from Truth and Spirituality #19"/>
    <x v="18"/>
    <m/>
    <m/>
    <n v="411"/>
    <x v="529"/>
    <s v="8 months ago"/>
    <m/>
    <m/>
    <m/>
    <x v="3"/>
    <m/>
    <m/>
    <m/>
    <m/>
  </r>
  <r>
    <n v="640"/>
    <x v="1"/>
    <m/>
    <m/>
    <s v="https://www.youtube.com/watch?v=5Qbkf3waru8"/>
    <s v="Shaktinipat is Beyond the Physics of Space and Time #20"/>
    <x v="18"/>
    <m/>
    <m/>
    <n v="301"/>
    <x v="19"/>
    <s v="8 months ago"/>
    <m/>
    <m/>
    <m/>
    <x v="3"/>
    <m/>
    <m/>
    <m/>
    <m/>
  </r>
  <r>
    <n v="641"/>
    <x v="1"/>
    <m/>
    <m/>
    <s v="https://www.youtube.com/watch?v=0cvq3rbQ7Dw"/>
    <s v="Can Machines Transmit Shakti? #21"/>
    <x v="18"/>
    <m/>
    <m/>
    <n v="343"/>
    <x v="154"/>
    <s v="8 months ago"/>
    <m/>
    <m/>
    <m/>
    <x v="3"/>
    <m/>
    <m/>
    <m/>
    <m/>
  </r>
  <r>
    <n v="642"/>
    <x v="1"/>
    <m/>
    <m/>
    <s v="https://www.youtube.com/watch?v=69M5XJQEYX4"/>
    <s v="&quot;I am Spiritual But Not Religious&quot;, Makes NO Sense if a Hindu Says This #22"/>
    <x v="18"/>
    <m/>
    <m/>
    <n v="816"/>
    <x v="352"/>
    <s v="8 months ago"/>
    <m/>
    <m/>
    <m/>
    <x v="3"/>
    <m/>
    <m/>
    <m/>
    <m/>
  </r>
  <r>
    <n v="643"/>
    <x v="1"/>
    <m/>
    <m/>
    <s v="https://www.youtube.com/watch?v=Yb0AWtlb8-g"/>
    <s v="Donations to a Hindu Temple Should Legally be Owned by the Deity ResidingThere. #23"/>
    <x v="18"/>
    <m/>
    <m/>
    <n v="443"/>
    <x v="2"/>
    <s v="8 months ago"/>
    <m/>
    <m/>
    <m/>
    <x v="3"/>
    <m/>
    <m/>
    <m/>
    <m/>
  </r>
  <r>
    <n v="644"/>
    <x v="1"/>
    <m/>
    <m/>
    <s v="https://www.youtube.com/watch?v=1Gop0_4D5pE"/>
    <s v="Swami Nityananda on the &quot;Collective Evolution&quot; Theory of Sri Aurobindo #26"/>
    <x v="18"/>
    <m/>
    <m/>
    <n v="467"/>
    <x v="530"/>
    <s v="8 months ago"/>
    <m/>
    <m/>
    <m/>
    <x v="3"/>
    <m/>
    <m/>
    <m/>
    <m/>
  </r>
  <r>
    <n v="645"/>
    <x v="1"/>
    <m/>
    <m/>
    <s v="https://www.youtube.com/watch?v=-pDxEjRprYM"/>
    <s v="Bionic Humans &amp; Evolution of Consciousness #25"/>
    <x v="18"/>
    <m/>
    <m/>
    <n v="360"/>
    <x v="209"/>
    <s v="8 months ago"/>
    <m/>
    <m/>
    <m/>
    <x v="3"/>
    <m/>
    <m/>
    <m/>
    <m/>
  </r>
  <r>
    <n v="646"/>
    <x v="1"/>
    <m/>
    <m/>
    <s v="https://www.youtube.com/watch?v=1P_XO3xfTCs"/>
    <s v="A Hindu Perspective on the Ethics of GMO, Human Organs Farming, and The Karmic Imprint #24"/>
    <x v="18"/>
    <m/>
    <m/>
    <n v="771"/>
    <x v="531"/>
    <s v="8 months ago"/>
    <m/>
    <m/>
    <m/>
    <x v="3"/>
    <m/>
    <m/>
    <m/>
    <m/>
  </r>
  <r>
    <n v="647"/>
    <x v="1"/>
    <m/>
    <m/>
    <s v="https://www.youtube.com/watch?v=Voaw-uef3Tw"/>
    <s v="Hindu Perspective on Mercy Killing/Euthanasia #16"/>
    <x v="18"/>
    <m/>
    <m/>
    <n v="546"/>
    <x v="525"/>
    <s v="8 months ago"/>
    <m/>
    <m/>
    <m/>
    <x v="3"/>
    <m/>
    <m/>
    <m/>
    <m/>
  </r>
  <r>
    <n v="648"/>
    <x v="1"/>
    <m/>
    <m/>
    <s v="https://www.youtube.com/watch?v=F2WG7neA31s"/>
    <s v="Rajiv's Open Challenge to Neuro-Scientists— &quot;Rishis Do Exist&quot; #27"/>
    <x v="18"/>
    <m/>
    <m/>
    <n v="2500"/>
    <x v="228"/>
    <s v="8 months ago"/>
    <m/>
    <m/>
    <m/>
    <x v="3"/>
    <m/>
    <m/>
    <m/>
    <m/>
  </r>
  <r>
    <n v="649"/>
    <x v="1"/>
    <m/>
    <m/>
    <s v="https://www.youtube.com/watch?v=n5lHU4Qyfbk"/>
    <s v="Do Miracle Healings Given by Yogis Hack the Karma Cycle #28"/>
    <x v="18"/>
    <m/>
    <m/>
    <n v="570"/>
    <x v="407"/>
    <s v="8 months ago"/>
    <m/>
    <m/>
    <m/>
    <x v="3"/>
    <m/>
    <m/>
    <m/>
    <m/>
  </r>
  <r>
    <n v="650"/>
    <x v="1"/>
    <m/>
    <m/>
    <s v="https://www.youtube.com/watch?v=mcxquOK_mY8"/>
    <s v="Breaking India: The Strategic Ploy Against Hinduism by Churches, Academics and More"/>
    <x v="18"/>
    <m/>
    <m/>
    <n v="2600"/>
    <x v="532"/>
    <s v="8 months ago"/>
    <m/>
    <m/>
    <m/>
    <x v="3"/>
    <m/>
    <m/>
    <m/>
    <m/>
  </r>
  <r>
    <n v="651"/>
    <x v="1"/>
    <m/>
    <m/>
    <s v="https://www.youtube.com/watch?v=9FgUTz996bs"/>
    <s v="Continuing the Guru Parampara: Swami Nithyananda Shares His Mission of Gratitude and Integrity #30"/>
    <x v="18"/>
    <m/>
    <m/>
    <n v="173"/>
    <x v="533"/>
    <s v="8 months ago"/>
    <m/>
    <m/>
    <m/>
    <x v="3"/>
    <m/>
    <m/>
    <m/>
    <m/>
  </r>
  <r>
    <n v="652"/>
    <x v="1"/>
    <m/>
    <m/>
    <s v="https://www.youtube.com/watch?v=DVcN5QXGA_w"/>
    <s v="Be the Heir to Your Own Fortune: Can Billionaires Bank on Financial Security in the Next Life? #29"/>
    <x v="18"/>
    <m/>
    <m/>
    <n v="789"/>
    <x v="534"/>
    <s v="8 months ago"/>
    <m/>
    <m/>
    <m/>
    <x v="3"/>
    <m/>
    <m/>
    <m/>
    <m/>
  </r>
  <r>
    <n v="653"/>
    <x v="1"/>
    <m/>
    <m/>
    <s v="https://www.youtube.com/watch?v=_D2sWZSHDqg&amp;t=834s"/>
    <s v="Interview with a Neo-Jewish Pseudo-Hindu on Hinduized Judaism, Tantric Kabbala, &amp; More"/>
    <x v="18"/>
    <m/>
    <m/>
    <n v="15000"/>
    <x v="535"/>
    <s v="8 months ago"/>
    <m/>
    <m/>
    <m/>
    <x v="3"/>
    <m/>
    <m/>
    <m/>
    <m/>
  </r>
  <r>
    <n v="654"/>
    <x v="1"/>
    <m/>
    <m/>
    <s v="https://www.youtube.com/watch?v=7-JbRtATwHQ"/>
    <s v="Being Different: Decolonizing Ourselves by Reversing the Indian Gaze Back at the West"/>
    <x v="18"/>
    <m/>
    <m/>
    <n v="1600"/>
    <x v="364"/>
    <s v="8 months ago"/>
    <m/>
    <m/>
    <m/>
    <x v="3"/>
    <m/>
    <m/>
    <m/>
    <m/>
  </r>
  <r>
    <n v="655"/>
    <x v="1"/>
    <m/>
    <m/>
    <s v="https://www.youtube.com/watch?v=N6IDjOR1OY0"/>
    <s v="Indra's Net: Exposing the Western Academics who Attack Hinduism and Challenging their Claims"/>
    <x v="18"/>
    <m/>
    <m/>
    <n v="1200"/>
    <x v="397"/>
    <s v="7 months ago"/>
    <m/>
    <m/>
    <m/>
    <x v="3"/>
    <m/>
    <m/>
    <m/>
    <m/>
  </r>
  <r>
    <n v="656"/>
    <x v="1"/>
    <m/>
    <m/>
    <s v="https://www.youtube.com/watch?v=mScbp58xwJE"/>
    <s v="Hindu Gurus Accepting Max Mullerian Translations is the Biggest Disadvantage Done to Hinduism #31"/>
    <x v="18"/>
    <m/>
    <m/>
    <n v="2300"/>
    <x v="495"/>
    <s v="7 months ago"/>
    <m/>
    <m/>
    <m/>
    <x v="3"/>
    <m/>
    <m/>
    <m/>
    <m/>
  </r>
  <r>
    <n v="657"/>
    <x v="1"/>
    <m/>
    <m/>
    <s v="https://www.youtube.com/watch?v=eQBirhrwc3E"/>
    <s v="Taking the Experience then Dropping the Guru: Why a Jewish Seeker Came &amp; then Left Hinduism"/>
    <x v="18"/>
    <m/>
    <m/>
    <n v="2600"/>
    <x v="536"/>
    <s v="7 months ago"/>
    <m/>
    <m/>
    <m/>
    <x v="3"/>
    <m/>
    <m/>
    <m/>
    <m/>
  </r>
  <r>
    <n v="658"/>
    <x v="1"/>
    <m/>
    <m/>
    <s v="https://www.youtube.com/watch?v=qzXGb7RIXmc"/>
    <s v="Why does Swamiji wear so much Gold Jewellery? The reason Gold became precious. #32"/>
    <x v="18"/>
    <m/>
    <m/>
    <n v="5800"/>
    <x v="537"/>
    <s v="7 months ago"/>
    <m/>
    <m/>
    <m/>
    <x v="3"/>
    <m/>
    <m/>
    <m/>
    <m/>
  </r>
  <r>
    <n v="659"/>
    <x v="1"/>
    <m/>
    <m/>
    <s v="https://www.youtube.com/watch?v=JjtvU2xQpaQ"/>
    <s v="The Battle for Sanskrit: Setting the Record Straight on our Ancient but Living Language"/>
    <x v="18"/>
    <m/>
    <m/>
    <n v="1400"/>
    <x v="346"/>
    <s v="7 months ago"/>
    <m/>
    <m/>
    <m/>
    <x v="3"/>
    <m/>
    <m/>
    <m/>
    <m/>
  </r>
  <r>
    <n v="660"/>
    <x v="1"/>
    <m/>
    <m/>
    <s v="https://www.youtube.com/watch?v=C6sAuCIhIzA"/>
    <s v="Two Kinds of Divine Power, Siddhis and Shaktis, are NOT Occult, Paranormal or Superstition 34"/>
    <x v="18"/>
    <m/>
    <m/>
    <n v="773"/>
    <x v="381"/>
    <s v="7 months ago"/>
    <m/>
    <m/>
    <m/>
    <x v="3"/>
    <m/>
    <m/>
    <m/>
    <m/>
  </r>
  <r>
    <n v="661"/>
    <x v="1"/>
    <m/>
    <m/>
    <s v="https://www.youtube.com/watch?v=strZVEaixcs"/>
    <s v="Book on Major Gurus, Lost Parampara, Shiva's Trishul Denigrated as Symbol of The Devil #33"/>
    <x v="18"/>
    <m/>
    <m/>
    <n v="1000"/>
    <x v="538"/>
    <s v="7 months ago"/>
    <m/>
    <m/>
    <m/>
    <x v="3"/>
    <m/>
    <m/>
    <m/>
    <m/>
  </r>
  <r>
    <n v="662"/>
    <x v="1"/>
    <m/>
    <m/>
    <s v="https://www.youtube.com/watch?v=Ih4StVOa0Qs"/>
    <s v="Indian Anti-Superstition Laws are Anti-Hindu &amp; Are Based on Western Idea of Superstition #35"/>
    <x v="18"/>
    <m/>
    <m/>
    <n v="536"/>
    <x v="366"/>
    <s v="7 months ago"/>
    <m/>
    <m/>
    <m/>
    <x v="3"/>
    <m/>
    <m/>
    <m/>
    <m/>
  </r>
  <r>
    <n v="663"/>
    <x v="1"/>
    <m/>
    <m/>
    <s v="https://www.youtube.com/watch?v=LIl0C87tzGE"/>
    <s v="Vajpayee Govt Took the Unfortunate Decision of Converting Ma Ganga Into a Lake #36"/>
    <x v="18"/>
    <m/>
    <m/>
    <n v="912"/>
    <x v="539"/>
    <s v="7 months ago"/>
    <m/>
    <m/>
    <m/>
    <x v="3"/>
    <m/>
    <m/>
    <m/>
    <m/>
  </r>
  <r>
    <n v="664"/>
    <x v="1"/>
    <m/>
    <m/>
    <s v="https://www.youtube.com/watch?v=sZGlmV--sG4"/>
    <s v="Rajiv Malhotra's Talk at S-Vyasa University, Bengaluru"/>
    <x v="18"/>
    <m/>
    <m/>
    <n v="4100"/>
    <x v="540"/>
    <s v="7 months ago"/>
    <m/>
    <m/>
    <m/>
    <x v="3"/>
    <m/>
    <m/>
    <m/>
    <m/>
  </r>
  <r>
    <n v="665"/>
    <x v="1"/>
    <m/>
    <m/>
    <s v="https://www.youtube.com/watch?v=MAt3aD51sUM"/>
    <s v="Ram Leela is a Living Representation of &quot;The Hindu Grand Narrative&quot;. # 37"/>
    <x v="18"/>
    <m/>
    <m/>
    <n v="728"/>
    <x v="219"/>
    <s v="7 months ago"/>
    <m/>
    <m/>
    <m/>
    <x v="3"/>
    <m/>
    <m/>
    <m/>
    <m/>
  </r>
  <r>
    <n v="666"/>
    <x v="1"/>
    <m/>
    <m/>
    <s v="https://www.youtube.com/watch?v=EXkq2inhXiw"/>
    <s v="Criticism on Interviewing Swami Nityananda, Rajiv Responds #38"/>
    <x v="18"/>
    <m/>
    <m/>
    <n v="2700"/>
    <x v="541"/>
    <s v="7 months ago"/>
    <m/>
    <m/>
    <m/>
    <x v="3"/>
    <m/>
    <m/>
    <m/>
    <m/>
  </r>
  <r>
    <n v="667"/>
    <x v="1"/>
    <m/>
    <m/>
    <s v="https://www.youtube.com/watch?v=XfaMChybaCc"/>
    <s v="Academic Hinduphobia: Challenging Media and Western Academics who Blatantly Abuse Hinduism"/>
    <x v="18"/>
    <m/>
    <m/>
    <n v="2400"/>
    <x v="157"/>
    <s v="7 months ago"/>
    <m/>
    <m/>
    <m/>
    <x v="3"/>
    <m/>
    <m/>
    <m/>
    <m/>
  </r>
  <r>
    <n v="668"/>
    <x v="1"/>
    <m/>
    <m/>
    <s v="https://www.youtube.com/watch?v=D559dD7btfo"/>
    <s v="All Civilizations, Traditions, Paths Are NOT The Same #1"/>
    <x v="18"/>
    <m/>
    <m/>
    <n v="2800"/>
    <x v="542"/>
    <s v="7 months ago"/>
    <m/>
    <m/>
    <m/>
    <x v="3"/>
    <m/>
    <m/>
    <m/>
    <m/>
  </r>
  <r>
    <n v="669"/>
    <x v="1"/>
    <m/>
    <m/>
    <s v="https://www.youtube.com/watch?v=rt5w2HzSWc0"/>
    <s v="Lecture on &quot;Diplomacy and Brand India&quot; - Foreign Service Institute, New Delhi"/>
    <x v="18"/>
    <m/>
    <m/>
    <n v="14000"/>
    <x v="543"/>
    <s v="6 months ago"/>
    <m/>
    <m/>
    <m/>
    <x v="3"/>
    <m/>
    <m/>
    <m/>
    <m/>
  </r>
  <r>
    <n v="670"/>
    <x v="1"/>
    <m/>
    <m/>
    <s v="https://www.youtube.com/watch?v=kvEIBfEnwXM"/>
    <s v="Swadeshi Indology Conference 2 — Inaugural Session"/>
    <x v="18"/>
    <m/>
    <m/>
    <n v="15000"/>
    <x v="544"/>
    <s v="6 months ago"/>
    <m/>
    <m/>
    <m/>
    <x v="3"/>
    <m/>
    <m/>
    <m/>
    <m/>
  </r>
  <r>
    <n v="671"/>
    <x v="1"/>
    <m/>
    <m/>
    <s v="https://www.youtube.com/watch?v=lkDfIrZy2VY"/>
    <s v="Swadeshi Indology Conference 2 — Closing Session"/>
    <x v="18"/>
    <m/>
    <m/>
    <n v="6800"/>
    <x v="545"/>
    <s v="6 months ago"/>
    <m/>
    <m/>
    <m/>
    <x v="3"/>
    <m/>
    <m/>
    <m/>
    <m/>
  </r>
  <r>
    <n v="672"/>
    <x v="1"/>
    <m/>
    <m/>
    <s v="https://www.youtube.com/watch?v=vB9JqlUiYUk"/>
    <s v="Hindu Students Council &amp; Rajiv Malhotra Discuss CNN's Latest Hinduphobia"/>
    <x v="18"/>
    <m/>
    <m/>
    <n v="27000"/>
    <x v="546"/>
    <s v="6 months ago"/>
    <m/>
    <m/>
    <m/>
    <x v="3"/>
    <m/>
    <m/>
    <m/>
    <m/>
  </r>
  <r>
    <n v="673"/>
    <x v="1"/>
    <m/>
    <m/>
    <s v="https://www.youtube.com/watch?v=vzoIHUTieE0"/>
    <s v="&quot;Idea of Bharatiya Exceptionalism&quot; — Idea of Bharat International Conference"/>
    <x v="18"/>
    <m/>
    <m/>
    <n v="10000"/>
    <x v="547"/>
    <s v="5 months ago"/>
    <m/>
    <m/>
    <m/>
    <x v="3"/>
    <m/>
    <m/>
    <m/>
    <m/>
  </r>
  <r>
    <n v="674"/>
    <x v="1"/>
    <m/>
    <m/>
    <s v="https://www.youtube.com/watch?v=eKSuEJqn2NI"/>
    <s v="Jewish-Hindu Difference on Nature of Reincarnation #2"/>
    <x v="18"/>
    <m/>
    <m/>
    <n v="1800"/>
    <x v="548"/>
    <s v="5 months ago"/>
    <m/>
    <m/>
    <m/>
    <x v="3"/>
    <m/>
    <m/>
    <m/>
    <m/>
  </r>
  <r>
    <n v="675"/>
    <x v="1"/>
    <m/>
    <m/>
    <s v="https://www.youtube.com/watch?v=1UnsEQPK3PQ"/>
    <s v="Global Perceptions of Indian Heritage - SI Conference 2- Inaugural Session"/>
    <x v="18"/>
    <m/>
    <m/>
    <n v="2300"/>
    <x v="549"/>
    <s v="5 months ago"/>
    <m/>
    <m/>
    <m/>
    <x v="3"/>
    <m/>
    <m/>
    <m/>
    <m/>
  </r>
  <r>
    <n v="676"/>
    <x v="1"/>
    <m/>
    <m/>
    <s v="https://www.youtube.com/watch?v=bD-uUsBgY-w"/>
    <s v="Global Perceptions of Indian Heritage - SI Conference 2- Closing Session"/>
    <x v="18"/>
    <m/>
    <m/>
    <n v="1200"/>
    <x v="550"/>
    <s v="5 months ago"/>
    <m/>
    <m/>
    <m/>
    <x v="3"/>
    <m/>
    <m/>
    <m/>
    <m/>
  </r>
  <r>
    <n v="677"/>
    <x v="1"/>
    <m/>
    <m/>
    <s v="https://www.youtube.com/watch?v=Lrh5zQHEIk4"/>
    <s v="Monograph 1: Pollock's Three Dimensional Philology"/>
    <x v="18"/>
    <m/>
    <m/>
    <n v="3700"/>
    <x v="551"/>
    <s v="5 months ago"/>
    <m/>
    <m/>
    <m/>
    <x v="3"/>
    <m/>
    <m/>
    <m/>
    <m/>
  </r>
  <r>
    <n v="678"/>
    <x v="1"/>
    <m/>
    <m/>
    <s v="https://www.youtube.com/watch?v=edQr4IJQuEg"/>
    <s v="Monograph 2: Politics of Sanskrit Studies"/>
    <x v="18"/>
    <m/>
    <m/>
    <n v="6700"/>
    <x v="552"/>
    <s v="5 months ago"/>
    <m/>
    <m/>
    <m/>
    <x v="3"/>
    <m/>
    <m/>
    <m/>
    <m/>
  </r>
  <r>
    <n v="679"/>
    <x v="1"/>
    <m/>
    <m/>
    <s v="https://www.youtube.com/watch?v=RJSsEA6fpJE"/>
    <s v="Purva Paksa of Pollock's use of Chronology - Megh K &amp; Manogna S"/>
    <x v="18"/>
    <m/>
    <m/>
    <n v="3700"/>
    <x v="553"/>
    <s v="5 months ago"/>
    <m/>
    <m/>
    <m/>
    <x v="3"/>
    <m/>
    <m/>
    <m/>
    <m/>
  </r>
  <r>
    <n v="680"/>
    <x v="1"/>
    <m/>
    <m/>
    <s v="https://www.youtube.com/watch?v=BlNY-1vmqvA"/>
    <s v="Critique of &amp; Rebuttal to Pollock's Dating for Epics - Nilesh Oak"/>
    <x v="18"/>
    <m/>
    <m/>
    <n v="6500"/>
    <x v="554"/>
    <s v="5 months ago"/>
    <m/>
    <m/>
    <m/>
    <x v="3"/>
    <m/>
    <m/>
    <m/>
    <m/>
  </r>
  <r>
    <n v="681"/>
    <x v="1"/>
    <m/>
    <m/>
    <s v="https://www.youtube.com/watch?v=_CKZQa18hcY"/>
    <s v="Mimamsa Critique of Pollock's History Theory - Dr S. Tilak"/>
    <x v="18"/>
    <m/>
    <m/>
    <n v="2900"/>
    <x v="555"/>
    <s v="5 months ago"/>
    <m/>
    <m/>
    <m/>
    <x v="3"/>
    <m/>
    <m/>
    <m/>
    <m/>
  </r>
  <r>
    <n v="682"/>
    <x v="1"/>
    <m/>
    <m/>
    <s v="https://www.youtube.com/watch?v=iwaHs0-q9l8"/>
    <s v="The Science of Meaning - Sudarshan Therani"/>
    <x v="18"/>
    <m/>
    <m/>
    <n v="2100"/>
    <x v="556"/>
    <s v="5 months ago"/>
    <m/>
    <m/>
    <m/>
    <x v="3"/>
    <m/>
    <m/>
    <m/>
    <m/>
  </r>
  <r>
    <n v="683"/>
    <x v="1"/>
    <m/>
    <m/>
    <s v="https://www.youtube.com/watch?v=lkO1JaN7BoQ"/>
    <s v="Gaṇita Śāstra &amp; Western Mathematics - S Mukhopadhayay"/>
    <x v="18"/>
    <m/>
    <m/>
    <n v="3000"/>
    <x v="557"/>
    <s v="5 months ago"/>
    <m/>
    <m/>
    <m/>
    <x v="3"/>
    <m/>
    <m/>
    <m/>
    <m/>
  </r>
  <r>
    <n v="684"/>
    <x v="1"/>
    <m/>
    <m/>
    <s v="https://www.youtube.com/watch?v=vaRCmUwpmNk"/>
    <s v="Are Sanskrit Grammar &amp; Royal Power Related - Sowmya K"/>
    <x v="18"/>
    <m/>
    <m/>
    <n v="5400"/>
    <x v="558"/>
    <s v="5 months ago"/>
    <m/>
    <m/>
    <m/>
    <x v="3"/>
    <m/>
    <m/>
    <m/>
    <m/>
  </r>
  <r>
    <n v="685"/>
    <x v="1"/>
    <m/>
    <m/>
    <s v="https://www.youtube.com/watch?v=qY_yQIrKwRk"/>
    <s v="Examination of Pollock's &quot;Project SKSEC&quot; - Manjushree Hegde"/>
    <x v="18"/>
    <m/>
    <m/>
    <n v="3300"/>
    <x v="559"/>
    <s v="5 months ago"/>
    <m/>
    <m/>
    <m/>
    <x v="3"/>
    <m/>
    <m/>
    <m/>
    <m/>
  </r>
  <r>
    <n v="686"/>
    <x v="1"/>
    <m/>
    <m/>
    <s v="https://www.youtube.com/watch?v=4ZkNnR--tMY"/>
    <s v="A Computational Theory for Rasa - Prof K Gopinath"/>
    <x v="18"/>
    <m/>
    <m/>
    <n v="2600"/>
    <x v="560"/>
    <s v="5 months ago"/>
    <m/>
    <m/>
    <m/>
    <x v="3"/>
    <m/>
    <m/>
    <m/>
    <m/>
  </r>
  <r>
    <n v="687"/>
    <x v="1"/>
    <m/>
    <m/>
    <s v="https://www.youtube.com/watch?v=Fb11XAvWeyE"/>
    <s v="Pollock's Influence on Contemporary Discourse- Discussion between Sonal Mansingh and Rajiv Malhotra"/>
    <x v="18"/>
    <m/>
    <m/>
    <n v="5800"/>
    <x v="561"/>
    <s v="5 months ago"/>
    <m/>
    <m/>
    <m/>
    <x v="3"/>
    <m/>
    <m/>
    <m/>
    <m/>
  </r>
  <r>
    <n v="688"/>
    <x v="1"/>
    <m/>
    <m/>
    <s v="https://www.youtube.com/watch?v=xAicQnL_abA"/>
    <s v="Why Traditional Scholars Should Take Pollock Seriously - Rajiv Malhotra Explains"/>
    <x v="18"/>
    <m/>
    <m/>
    <n v="12000"/>
    <x v="562"/>
    <s v="5 months ago"/>
    <m/>
    <m/>
    <m/>
    <x v="3"/>
    <m/>
    <m/>
    <m/>
    <m/>
  </r>
  <r>
    <n v="689"/>
    <x v="1"/>
    <m/>
    <m/>
    <s v="https://www.youtube.com/watch?v=kcbL1wC9PEg"/>
    <s v="Sheldon Pollock's Prashastis For His Funding Sources"/>
    <x v="18"/>
    <m/>
    <m/>
    <n v="4800"/>
    <x v="563"/>
    <s v="5 months ago"/>
    <m/>
    <m/>
    <m/>
    <x v="3"/>
    <m/>
    <m/>
    <m/>
    <m/>
  </r>
  <r>
    <n v="690"/>
    <x v="1"/>
    <m/>
    <m/>
    <s v="https://www.youtube.com/watch?v=qqDl6coS7wg"/>
    <s v="Rajiv Malhotra Darshan with Puri Shankaracharya to discuss common interests"/>
    <x v="18"/>
    <m/>
    <m/>
    <n v="9100"/>
    <x v="564"/>
    <s v="5 months ago"/>
    <m/>
    <m/>
    <m/>
    <x v="3"/>
    <m/>
    <m/>
    <m/>
    <m/>
  </r>
  <r>
    <n v="691"/>
    <x v="1"/>
    <m/>
    <m/>
    <s v="https://www.youtube.com/watch?v=0RYS6V76lRQ"/>
    <s v="Decolonizing the Indian Civil Services: Rajiv Malhotra"/>
    <x v="18"/>
    <m/>
    <m/>
    <n v="24000"/>
    <x v="565"/>
    <s v="5 months ago"/>
    <m/>
    <m/>
    <m/>
    <x v="3"/>
    <m/>
    <m/>
    <m/>
    <m/>
  </r>
  <r>
    <n v="692"/>
    <x v="1"/>
    <m/>
    <m/>
    <s v="https://www.youtube.com/watch?v=gtJ9OzJIB_c"/>
    <s v="R Nagaswamy's Plenary Talk at Swadeshi Indology Conf 2"/>
    <x v="18"/>
    <m/>
    <m/>
    <n v="4900"/>
    <x v="566"/>
    <s v="5 months ago"/>
    <m/>
    <m/>
    <m/>
    <x v="3"/>
    <m/>
    <m/>
    <m/>
    <m/>
  </r>
  <r>
    <n v="693"/>
    <x v="1"/>
    <m/>
    <m/>
    <s v="https://www.youtube.com/watch?v=7AYmPqY5iF4"/>
    <s v="Lets Debate the Politics of Social Sciences"/>
    <x v="18"/>
    <m/>
    <m/>
    <n v="5300"/>
    <x v="567"/>
    <s v="5 months ago"/>
    <m/>
    <m/>
    <m/>
    <x v="3"/>
    <m/>
    <m/>
    <m/>
    <m/>
  </r>
  <r>
    <n v="694"/>
    <x v="1"/>
    <m/>
    <m/>
    <s v="https://www.youtube.com/watch?v=4iGdwJ3nQcs&amp;t=38s"/>
    <s v="Kashmir Violence and the Legal Hounding of Madhu Kishwar"/>
    <x v="18"/>
    <m/>
    <m/>
    <n v="18000"/>
    <x v="568"/>
    <s v="4 months ago"/>
    <m/>
    <m/>
    <m/>
    <x v="3"/>
    <m/>
    <m/>
    <m/>
    <m/>
  </r>
  <r>
    <n v="695"/>
    <x v="1"/>
    <m/>
    <m/>
    <s v="https://www.youtube.com/watch?v=OI3nL5YCIO8"/>
    <s v="Princeton University's Parth Parihar Interviews Rajiv Malhotra"/>
    <x v="18"/>
    <m/>
    <m/>
    <n v="9100"/>
    <x v="569"/>
    <s v="4 months ago"/>
    <m/>
    <m/>
    <m/>
    <x v="3"/>
    <m/>
    <m/>
    <m/>
    <m/>
  </r>
  <r>
    <n v="696"/>
    <x v="1"/>
    <m/>
    <m/>
    <s v="https://www.youtube.com/watch?v=_xxJKDZyRuE"/>
    <s v="Keynote Speech by Rajiv Malhotra: &quot;Hindu Contributions to Humanity&quot;"/>
    <x v="18"/>
    <m/>
    <m/>
    <n v="10000"/>
    <x v="570"/>
    <s v="4 months ago"/>
    <m/>
    <m/>
    <m/>
    <x v="3"/>
    <m/>
    <m/>
    <m/>
    <m/>
  </r>
  <r>
    <n v="697"/>
    <x v="1"/>
    <m/>
    <m/>
    <s v="https://www.youtube.com/watch?v=vhlPSbFlxPI"/>
    <s v="Rajiv Malhotra Invites Hindus To Send Queries About Hinduism"/>
    <x v="18"/>
    <m/>
    <m/>
    <n v="3700"/>
    <x v="505"/>
    <s v="4 months ago"/>
    <m/>
    <m/>
    <m/>
    <x v="3"/>
    <m/>
    <m/>
    <m/>
    <m/>
  </r>
  <r>
    <n v="698"/>
    <x v="1"/>
    <m/>
    <m/>
    <s v="https://www.youtube.com/watch?v=vmOlaD1O5rg"/>
    <s v="Did the &quot;Art of Living&quot; Event Destroy The Yamuna, as Alleged?"/>
    <x v="18"/>
    <m/>
    <m/>
    <n v="16000"/>
    <x v="571"/>
    <s v="4 months ago"/>
    <m/>
    <m/>
    <m/>
    <x v="3"/>
    <m/>
    <m/>
    <m/>
    <m/>
  </r>
  <r>
    <n v="699"/>
    <x v="1"/>
    <m/>
    <m/>
    <s v="https://www.youtube.com/watch?v=WzgR7yTQNzY"/>
    <s v="In Conversation with Meenakshi Jain"/>
    <x v="18"/>
    <m/>
    <m/>
    <n v="16000"/>
    <x v="572"/>
    <s v="4 months ago"/>
    <m/>
    <m/>
    <m/>
    <x v="3"/>
    <m/>
    <m/>
    <m/>
    <m/>
  </r>
  <r>
    <n v="700"/>
    <x v="1"/>
    <m/>
    <m/>
    <s v="https://www.youtube.com/watch?v=SNpVBfgzPmo"/>
    <s v="Discussing the Digestion of Yoga with a White Hindu"/>
    <x v="18"/>
    <m/>
    <m/>
    <n v="12000"/>
    <x v="573"/>
    <s v="4 months ago"/>
    <m/>
    <m/>
    <m/>
    <x v="3"/>
    <m/>
    <m/>
    <m/>
    <m/>
  </r>
  <r>
    <n v="701"/>
    <x v="1"/>
    <m/>
    <m/>
    <s v="https://www.youtube.com/watch?v=MC9pK4dCHAs"/>
    <s v="Natyasastra to Bollywood: Rasa, an eternal experience - Charu Uppal"/>
    <x v="18"/>
    <m/>
    <m/>
    <n v="895"/>
    <x v="574"/>
    <s v="3 months ago"/>
    <m/>
    <m/>
    <m/>
    <x v="3"/>
    <m/>
    <m/>
    <m/>
    <m/>
  </r>
  <r>
    <n v="702"/>
    <x v="1"/>
    <m/>
    <m/>
    <s v="https://www.youtube.com/watch?v=g8GW7DlPr4g"/>
    <s v="The Science of the Sacred - Sudarshan Therani"/>
    <x v="18"/>
    <m/>
    <m/>
    <n v="214"/>
    <x v="575"/>
    <s v="3 months ago"/>
    <m/>
    <m/>
    <m/>
    <x v="3"/>
    <m/>
    <m/>
    <m/>
    <m/>
  </r>
  <r>
    <n v="703"/>
    <x v="1"/>
    <m/>
    <m/>
    <s v="https://www.youtube.com/watch?v=lQph5joRdU8"/>
    <s v="Sheldon Pollock &amp; Desacralization of Sanskrit - Megh K and Manogna S"/>
    <x v="18"/>
    <m/>
    <m/>
    <n v="1400"/>
    <x v="144"/>
    <s v="3 months ago"/>
    <m/>
    <m/>
    <m/>
    <x v="3"/>
    <m/>
    <m/>
    <m/>
    <m/>
  </r>
  <r>
    <n v="704"/>
    <x v="1"/>
    <m/>
    <m/>
    <s v="https://www.youtube.com/watch?v=DMReaVWJGFE"/>
    <s v="Pollock's views on Rasa: A Critique - Karthik S Joshi"/>
    <x v="18"/>
    <m/>
    <m/>
    <n v="159"/>
    <x v="576"/>
    <s v="3 months ago"/>
    <m/>
    <m/>
    <m/>
    <x v="3"/>
    <m/>
    <m/>
    <m/>
    <m/>
  </r>
  <r>
    <n v="705"/>
    <x v="1"/>
    <m/>
    <m/>
    <s v="https://www.youtube.com/watch?v=Zused4CGMw4"/>
    <s v="Sanskrit is not dead - Satyanarayana Dasa"/>
    <x v="18"/>
    <m/>
    <m/>
    <n v="1700"/>
    <x v="570"/>
    <s v="3 months ago"/>
    <m/>
    <m/>
    <m/>
    <x v="3"/>
    <m/>
    <m/>
    <m/>
    <m/>
  </r>
  <r>
    <n v="706"/>
    <x v="1"/>
    <m/>
    <m/>
    <s v="https://www.youtube.com/watch?v=KCUZ6hBgxc0"/>
    <s v="Pollock's &quot;From Rasa Seen to Rasa Heard&quot;: A Critique - Sreejit Datta"/>
    <x v="18"/>
    <m/>
    <m/>
    <n v="395"/>
    <x v="577"/>
    <s v="3 months ago"/>
    <m/>
    <m/>
    <m/>
    <x v="3"/>
    <m/>
    <m/>
    <m/>
    <m/>
  </r>
  <r>
    <n v="707"/>
    <x v="1"/>
    <m/>
    <m/>
    <s v="https://www.youtube.com/watch?v=k0FNC9LuJoo&amp;t=4s"/>
    <s v="The Buddha Versus Sheldon Pollock — Dr. Koenraad Elst"/>
    <x v="18"/>
    <m/>
    <m/>
    <n v="4200"/>
    <x v="578"/>
    <s v="3 months ago"/>
    <m/>
    <m/>
    <m/>
    <x v="3"/>
    <m/>
    <m/>
    <m/>
    <m/>
  </r>
  <r>
    <n v="708"/>
    <x v="1"/>
    <m/>
    <m/>
    <s v="https://www.youtube.com/watch?v=DBYSIkWsAOI"/>
    <s v="Remarks From Chair: Session on Misc Themes - Shashi Tiwari"/>
    <x v="18"/>
    <m/>
    <m/>
    <n v="131"/>
    <x v="41"/>
    <s v="3 months ago"/>
    <m/>
    <m/>
    <m/>
    <x v="3"/>
    <m/>
    <m/>
    <m/>
    <m/>
  </r>
  <r>
    <n v="709"/>
    <x v="1"/>
    <m/>
    <m/>
    <s v="https://www.youtube.com/watch?v=VKbVHIgKbbo"/>
    <s v="Remarks From Chair: Session on Sastra &amp; Misc Theme — Dr. Aravinda Rao"/>
    <x v="18"/>
    <m/>
    <m/>
    <n v="420"/>
    <x v="579"/>
    <s v="3 months ago"/>
    <m/>
    <m/>
    <m/>
    <x v="3"/>
    <m/>
    <m/>
    <m/>
    <m/>
  </r>
  <r>
    <n v="710"/>
    <x v="1"/>
    <m/>
    <m/>
    <s v="https://www.youtube.com/watch?v=uaTb9-4kT2Y"/>
    <s v="Hinduism and Buddhism: Convergent or Divergent - Rajath V"/>
    <x v="18"/>
    <m/>
    <m/>
    <n v="1000"/>
    <x v="580"/>
    <s v="3 months ago"/>
    <m/>
    <m/>
    <m/>
    <x v="3"/>
    <m/>
    <m/>
    <m/>
    <m/>
  </r>
  <r>
    <n v="711"/>
    <x v="1"/>
    <m/>
    <m/>
    <s v="https://www.youtube.com/watch?v=wKoUB00RmE0"/>
    <s v="The Science &amp; Nescience of Mimamsa - Sudarshan Therani"/>
    <x v="18"/>
    <m/>
    <m/>
    <n v="508"/>
    <x v="581"/>
    <s v="3 months ago"/>
    <m/>
    <m/>
    <m/>
    <x v="3"/>
    <m/>
    <m/>
    <m/>
    <m/>
  </r>
  <r>
    <n v="712"/>
    <x v="1"/>
    <m/>
    <m/>
    <s v="https://www.youtube.com/watch?v=sI2xSENomQY"/>
    <s v="Pollock's 'Irresponsible' Vs Valmiki's 'Plausible' Ramayana - Animesh Aaryan"/>
    <x v="18"/>
    <m/>
    <m/>
    <n v="710"/>
    <x v="582"/>
    <s v="3 months ago"/>
    <m/>
    <m/>
    <m/>
    <x v="3"/>
    <m/>
    <m/>
    <m/>
    <m/>
  </r>
  <r>
    <n v="713"/>
    <x v="1"/>
    <m/>
    <m/>
    <s v="https://www.youtube.com/watch?v=Ts09Fp7M53k"/>
    <s v="The divine nature of the Vedas - Alok Mishra"/>
    <x v="18"/>
    <m/>
    <m/>
    <n v="1000"/>
    <x v="583"/>
    <s v="3 months ago"/>
    <m/>
    <m/>
    <m/>
    <x v="3"/>
    <m/>
    <m/>
    <m/>
    <m/>
  </r>
  <r>
    <n v="714"/>
    <x v="1"/>
    <m/>
    <m/>
    <s v="https://www.youtube.com/watch?v=inDcB8LwlqI"/>
    <s v="Sastra of Science &amp; Science of Sastras - Madhu &amp; Sudarshan Therani"/>
    <x v="18"/>
    <m/>
    <m/>
    <n v="878"/>
    <x v="584"/>
    <s v="3 months ago"/>
    <m/>
    <m/>
    <m/>
    <x v="3"/>
    <m/>
    <m/>
    <m/>
    <m/>
  </r>
  <r>
    <n v="715"/>
    <x v="1"/>
    <m/>
    <m/>
    <s v="https://www.youtube.com/watch?v=1wYg5d-4aVg"/>
    <s v="Rejoinder to Rasa Reader: An Insider View - Sharda Narayanan"/>
    <x v="18"/>
    <m/>
    <m/>
    <n v="1100"/>
    <x v="468"/>
    <s v="3 months ago"/>
    <m/>
    <m/>
    <m/>
    <x v="3"/>
    <m/>
    <m/>
    <m/>
    <m/>
  </r>
  <r>
    <n v="716"/>
    <x v="1"/>
    <m/>
    <m/>
    <s v="https://www.youtube.com/watch?v=oLCI7vQ7WFk"/>
    <s v="Remarks From Chair: Session on Rasa - Dr Pappu Venugopala Rao"/>
    <x v="18"/>
    <m/>
    <m/>
    <n v="347"/>
    <x v="585"/>
    <s v="3 months ago"/>
    <m/>
    <m/>
    <m/>
    <x v="3"/>
    <m/>
    <m/>
    <m/>
    <m/>
  </r>
  <r>
    <n v="717"/>
    <x v="1"/>
    <m/>
    <m/>
    <s v="https://www.youtube.com/watch?v=Owv0FewW5Bo"/>
    <s v="Commonalities in Hindu &amp; Buddhist Meta Framework - Ravi Joshi"/>
    <x v="18"/>
    <m/>
    <m/>
    <n v="465"/>
    <x v="586"/>
    <s v="3 months ago"/>
    <m/>
    <m/>
    <m/>
    <x v="3"/>
    <m/>
    <m/>
    <m/>
    <m/>
  </r>
  <r>
    <n v="718"/>
    <x v="1"/>
    <m/>
    <m/>
    <s v="https://www.youtube.com/watch?v=3ytmTvor21A"/>
    <s v="Impressions of Swadeshi Indology Conference 2 - Dr. Sonal Mansingh"/>
    <x v="18"/>
    <m/>
    <m/>
    <n v="1100"/>
    <x v="143"/>
    <s v="3 months ago"/>
    <m/>
    <m/>
    <m/>
    <x v="3"/>
    <m/>
    <m/>
    <m/>
    <m/>
  </r>
  <r>
    <n v="719"/>
    <x v="1"/>
    <m/>
    <m/>
    <s v="https://www.youtube.com/watch?v=tPgOVeqnOcc"/>
    <s v="Remarks from chair - Session 2 on Rasa - Prof. K Gopinath"/>
    <x v="18"/>
    <m/>
    <m/>
    <n v="690"/>
    <x v="587"/>
    <s v="3 months ago"/>
    <m/>
    <m/>
    <m/>
    <x v="3"/>
    <m/>
    <m/>
    <m/>
    <m/>
  </r>
  <r>
    <n v="720"/>
    <x v="1"/>
    <m/>
    <m/>
    <s v="https://www.youtube.com/watch?v=sEg8fP2ckhI"/>
    <s v="Plenary Session 3: Dr. Pappu Venugopala Rao"/>
    <x v="18"/>
    <m/>
    <m/>
    <n v="734"/>
    <x v="588"/>
    <s v="3 months ago"/>
    <m/>
    <m/>
    <m/>
    <x v="3"/>
    <m/>
    <m/>
    <m/>
    <m/>
  </r>
  <r>
    <n v="721"/>
    <x v="1"/>
    <m/>
    <m/>
    <s v="https://www.youtube.com/watch?v=tmCFtpj6IZc"/>
    <s v="Plenary Session 2 - Dr Meenakshi Jain"/>
    <x v="18"/>
    <m/>
    <m/>
    <n v="2400"/>
    <x v="589"/>
    <s v="3 months ago"/>
    <m/>
    <m/>
    <m/>
    <x v="3"/>
    <m/>
    <m/>
    <m/>
    <m/>
  </r>
  <r>
    <n v="722"/>
    <x v="1"/>
    <m/>
    <m/>
    <s v="https://www.youtube.com/watch?v=Ul-faWS75vA"/>
    <s v="Pollock’s Hypothesis on “Othering” is unscientific - Murali KV"/>
    <x v="18"/>
    <m/>
    <m/>
    <n v="698"/>
    <x v="590"/>
    <s v="3 months ago"/>
    <m/>
    <m/>
    <m/>
    <x v="3"/>
    <m/>
    <m/>
    <m/>
    <m/>
  </r>
  <r>
    <n v="723"/>
    <x v="1"/>
    <m/>
    <m/>
    <s v="https://www.youtube.com/watch?v=rP79c8rd-jE"/>
    <s v="Upanishads and Buddha's Teachings - Sunil M V"/>
    <x v="18"/>
    <m/>
    <m/>
    <n v="587"/>
    <x v="591"/>
    <s v="3 months ago"/>
    <m/>
    <m/>
    <m/>
    <x v="3"/>
    <m/>
    <m/>
    <m/>
    <m/>
  </r>
  <r>
    <n v="724"/>
    <x v="1"/>
    <m/>
    <m/>
    <s v="https://www.youtube.com/watch?v=4ej2lqB-kjM"/>
    <s v="Pollock's Desacralisation of the Indian Rasa Tradition - Ashay Naik"/>
    <x v="18"/>
    <m/>
    <m/>
    <n v="304"/>
    <x v="592"/>
    <s v="3 months ago"/>
    <m/>
    <m/>
    <m/>
    <x v="3"/>
    <m/>
    <m/>
    <m/>
    <m/>
  </r>
  <r>
    <n v="725"/>
    <x v="1"/>
    <m/>
    <m/>
    <s v="https://www.youtube.com/watch?v=OmWUkxANoEk"/>
    <s v="Mimamsa and the Problem of History in Traditional India - Ananth Sethuraman"/>
    <x v="18"/>
    <m/>
    <m/>
    <n v="361"/>
    <x v="593"/>
    <s v="3 months ago"/>
    <m/>
    <m/>
    <m/>
    <x v="3"/>
    <m/>
    <m/>
    <m/>
    <m/>
  </r>
  <r>
    <n v="726"/>
    <x v="1"/>
    <m/>
    <m/>
    <s v="https://www.youtube.com/watch?v=5IYA6g6rNW0"/>
    <s v="Rasa one step below Brahman - Dr. R Ganesh"/>
    <x v="18"/>
    <m/>
    <m/>
    <n v="2200"/>
    <x v="594"/>
    <s v="3 months ago"/>
    <m/>
    <m/>
    <m/>
    <x v="3"/>
    <m/>
    <m/>
    <m/>
    <m/>
  </r>
  <r>
    <n v="727"/>
    <x v="1"/>
    <m/>
    <m/>
    <s v="https://www.youtube.com/watch?v=zEXu5K5eyCY"/>
    <s v="Rasa theory - Dr. Nagaswamy"/>
    <x v="18"/>
    <m/>
    <m/>
    <n v="1600"/>
    <x v="595"/>
    <s v="3 months ago"/>
    <m/>
    <m/>
    <m/>
    <x v="3"/>
    <m/>
    <m/>
    <m/>
    <m/>
  </r>
  <r>
    <n v="728"/>
    <x v="1"/>
    <m/>
    <m/>
    <s v="https://www.youtube.com/watch?v=s9g49kgd9ao"/>
    <s v="Change and growth of Rasa Theory - Naresh Cuntoor"/>
    <x v="18"/>
    <m/>
    <m/>
    <n v="245"/>
    <x v="596"/>
    <s v="3 months ago"/>
    <m/>
    <m/>
    <m/>
    <x v="3"/>
    <m/>
    <m/>
    <m/>
    <m/>
  </r>
  <r>
    <n v="729"/>
    <x v="1"/>
    <m/>
    <m/>
    <s v="https://www.youtube.com/watch?v=7IXp156RgtQ"/>
    <s v="Mimamsa and Ahistoricism - Prof. K S Kannan"/>
    <x v="18"/>
    <m/>
    <m/>
    <n v="479"/>
    <x v="597"/>
    <s v="3 months ago"/>
    <m/>
    <m/>
    <m/>
    <x v="3"/>
    <m/>
    <m/>
    <m/>
    <m/>
  </r>
  <r>
    <n v="730"/>
    <x v="1"/>
    <m/>
    <m/>
    <s v="https://www.youtube.com/watch?v=1CJb6PuWDqk"/>
    <s v="Remarks From Chair - Session on Chronology and Buddhism_Dr Nagaswamy"/>
    <x v="18"/>
    <m/>
    <m/>
    <n v="217"/>
    <x v="598"/>
    <s v="3 months ago"/>
    <m/>
    <m/>
    <m/>
    <x v="3"/>
    <m/>
    <m/>
    <m/>
    <m/>
  </r>
  <r>
    <n v="731"/>
    <x v="1"/>
    <m/>
    <m/>
    <s v="https://www.youtube.com/watch?v=3Pat7agSMJU&amp;t=22s"/>
    <s v="Brahmanism, Buddhism and Mimamsa - Sharda Narayanan"/>
    <x v="18"/>
    <m/>
    <m/>
    <n v="5500"/>
    <x v="599"/>
    <s v="3 months ago"/>
    <m/>
    <m/>
    <m/>
    <x v="3"/>
    <m/>
    <m/>
    <m/>
    <m/>
  </r>
  <r>
    <n v="732"/>
    <x v="1"/>
    <m/>
    <m/>
    <s v="https://www.youtube.com/watch?v=lyiuoR-2E6I"/>
    <s v="Examining Pollock's &quot;Sanskrit Cosmopolis&quot; - Arvind Prasad"/>
    <x v="18"/>
    <m/>
    <m/>
    <n v="335"/>
    <x v="600"/>
    <s v="3 months ago"/>
    <m/>
    <m/>
    <m/>
    <x v="3"/>
    <m/>
    <m/>
    <m/>
    <m/>
  </r>
  <r>
    <n v="733"/>
    <x v="1"/>
    <m/>
    <m/>
    <s v="https://www.youtube.com/watch?v=h4ZgKKlmUl0&amp;t=481s"/>
    <s v="Conflict Between Buddhism &amp; Hinduism - Dr. R Nagaswamy"/>
    <x v="18"/>
    <m/>
    <m/>
    <n v="4400"/>
    <x v="601"/>
    <s v="3 months ago"/>
    <m/>
    <m/>
    <m/>
    <x v="3"/>
    <m/>
    <m/>
    <m/>
    <m/>
  </r>
  <r>
    <n v="734"/>
    <x v="1"/>
    <m/>
    <m/>
    <s v="https://www.youtube.com/watch?v=8gCMYZ-alVw"/>
    <s v="Pollock's Philology: Mixing Ramayana and Political Imagination - Ishani Dutta"/>
    <x v="18"/>
    <m/>
    <m/>
    <n v="1300"/>
    <x v="602"/>
    <s v="3 months ago"/>
    <m/>
    <m/>
    <m/>
    <x v="3"/>
    <m/>
    <m/>
    <m/>
    <m/>
  </r>
  <r>
    <n v="735"/>
    <x v="1"/>
    <m/>
    <m/>
    <s v="https://www.youtube.com/watch?v=aPfBxS4huSc"/>
    <s v="Remarks from Chair - Session on Mimamsa &amp; some Misc topics - Dr. Koenraad Elst"/>
    <x v="18"/>
    <m/>
    <m/>
    <n v="684"/>
    <x v="129"/>
    <s v="3 months ago"/>
    <m/>
    <m/>
    <m/>
    <x v="3"/>
    <m/>
    <m/>
    <m/>
    <m/>
  </r>
  <r>
    <n v="736"/>
    <x v="1"/>
    <m/>
    <m/>
    <s v="https://www.youtube.com/watch?v=HQK8u4lh7y0"/>
    <s v="Remarks from chair - Session on Philology - Dr. Korada Subrahmanyam"/>
    <x v="18"/>
    <m/>
    <m/>
    <n v="570"/>
    <x v="603"/>
    <s v="3 months ago"/>
    <m/>
    <m/>
    <m/>
    <x v="3"/>
    <m/>
    <m/>
    <m/>
    <m/>
  </r>
  <r>
    <n v="737"/>
    <x v="1"/>
    <m/>
    <m/>
    <s v="https://www.youtube.com/watch?v=qIQN0DtO2Z8"/>
    <s v="Remarks from chair - Session on Buddhism - Dr. Amarjiva Lochan"/>
    <x v="18"/>
    <m/>
    <m/>
    <n v="431"/>
    <x v="604"/>
    <s v="3 months ago"/>
    <m/>
    <m/>
    <m/>
    <x v="3"/>
    <m/>
    <m/>
    <m/>
    <m/>
  </r>
  <r>
    <n v="738"/>
    <x v="1"/>
    <m/>
    <m/>
    <s v="https://www.youtube.com/watch?v=ZErxsCxSQsA"/>
    <s v="Pollock's &quot;Death of Sanskrit&quot; - An Analysis - Jayaraman Mahadevan"/>
    <x v="18"/>
    <m/>
    <m/>
    <n v="1300"/>
    <x v="605"/>
    <s v="3 months ago"/>
    <m/>
    <m/>
    <m/>
    <x v="3"/>
    <m/>
    <m/>
    <m/>
    <m/>
  </r>
  <r>
    <n v="739"/>
    <x v="1"/>
    <m/>
    <m/>
    <s v="https://www.youtube.com/watch?v=ZyApm_PJ-W8&amp;t=65s"/>
    <s v="India’s (Unacknowledged) Contributions to Mind Sciences: Rajiv Malhotra"/>
    <x v="18"/>
    <m/>
    <m/>
    <n v="14000"/>
    <x v="606"/>
    <s v="3 months ago"/>
    <m/>
    <m/>
    <m/>
    <x v="3"/>
    <m/>
    <m/>
    <m/>
    <m/>
  </r>
  <r>
    <n v="740"/>
    <x v="1"/>
    <m/>
    <m/>
    <s v="https://www.youtube.com/watch?v=VFJFvcNogFU"/>
    <s v="Rajiv Malhotra in Conversation with Brooke Boon, Founder of ‘Holy Yoga’"/>
    <x v="18"/>
    <m/>
    <m/>
    <n v="8100"/>
    <x v="607"/>
    <s v="3 months ago"/>
    <m/>
    <m/>
    <m/>
    <x v="3"/>
    <m/>
    <m/>
    <m/>
    <m/>
  </r>
  <r>
    <n v="741"/>
    <x v="1"/>
    <m/>
    <m/>
    <s v="https://www.youtube.com/watch?v=JlEmX46IYNY"/>
    <s v="Rajiv Malhotra in Conversation with Brooke Boon, Founder of ‘Holy Yoga’"/>
    <x v="18"/>
    <m/>
    <m/>
    <n v="9400"/>
    <x v="608"/>
    <s v="3 months ago"/>
    <m/>
    <m/>
    <m/>
    <x v="3"/>
    <m/>
    <m/>
    <m/>
    <m/>
  </r>
  <r>
    <n v="742"/>
    <x v="1"/>
    <m/>
    <m/>
    <s v="https://www.youtube.com/watch?v=SPD35eCSgDk"/>
    <s v="In Conversation with Vivek Agnihotri, A Patriotic Filmmaker"/>
    <x v="18"/>
    <m/>
    <m/>
    <n v="18000"/>
    <x v="609"/>
    <s v="3 months ago"/>
    <m/>
    <m/>
    <m/>
    <x v="3"/>
    <m/>
    <m/>
    <m/>
    <m/>
  </r>
  <r>
    <n v="743"/>
    <x v="1"/>
    <m/>
    <m/>
    <s v="https://www.youtube.com/watch?v=sy6xQyjX7qg"/>
    <s v="Discussion with Suzin Green, a Kali Worshipper &amp; Yoga-based Life Coach"/>
    <x v="18"/>
    <m/>
    <m/>
    <n v="10000"/>
    <x v="610"/>
    <s v="3 months ago"/>
    <m/>
    <m/>
    <m/>
    <x v="3"/>
    <m/>
    <m/>
    <m/>
    <m/>
  </r>
  <r>
    <n v="744"/>
    <x v="1"/>
    <m/>
    <m/>
    <s v="https://www.youtube.com/watch?v=xCLLCYBg7Zc"/>
    <s v="Dr Subramanian Swamy In Conversation with Rajiv Malhotra"/>
    <x v="18"/>
    <m/>
    <m/>
    <n v="114000"/>
    <x v="611"/>
    <s v="2 months ago"/>
    <m/>
    <m/>
    <m/>
    <x v="3"/>
    <m/>
    <m/>
    <m/>
    <m/>
  </r>
  <r>
    <n v="745"/>
    <x v="1"/>
    <m/>
    <m/>
    <s v="https://www.youtube.com/watch?v=s4vjcCAXvVI"/>
    <s v="Discussion with General GD Bakshi: &quot;Bold Proposals on India's Security Dilemmas&quot;"/>
    <x v="18"/>
    <m/>
    <m/>
    <n v="27000"/>
    <x v="612"/>
    <s v="2 months ago"/>
    <m/>
    <m/>
    <m/>
    <x v="3"/>
    <m/>
    <m/>
    <m/>
    <m/>
  </r>
  <r>
    <n v="746"/>
    <x v="1"/>
    <m/>
    <m/>
    <s v="https://www.youtube.com/watch?v=wfQX8QWcWgI"/>
    <s v="Swami Vigyananand (Chairman of World Hindu Foundation) In Conversation with Rajiv Malhotra"/>
    <x v="18"/>
    <m/>
    <m/>
    <n v="17000"/>
    <x v="613"/>
    <s v="2 months ago"/>
    <m/>
    <m/>
    <m/>
    <x v="3"/>
    <m/>
    <m/>
    <m/>
    <m/>
  </r>
  <r>
    <n v="747"/>
    <x v="1"/>
    <m/>
    <m/>
    <s v="https://www.youtube.com/watch?v=c50rfZlrNXU"/>
    <s v="Prof R. Vaidyanathan &amp; Rajiv Malhotra on the Global and Local Economic Mess"/>
    <x v="18"/>
    <m/>
    <m/>
    <n v="24000"/>
    <x v="614"/>
    <s v="2 months ago"/>
    <m/>
    <m/>
    <m/>
    <x v="3"/>
    <m/>
    <m/>
    <m/>
    <m/>
  </r>
  <r>
    <n v="748"/>
    <x v="1"/>
    <m/>
    <m/>
    <s v="https://www.youtube.com/watch?v=Bx9ffGtMMxo"/>
    <s v="Meet the Real Hero Behind Demonetization"/>
    <x v="18"/>
    <m/>
    <m/>
    <n v="22000"/>
    <x v="615"/>
    <s v="2 months ago"/>
    <m/>
    <m/>
    <m/>
    <x v="3"/>
    <m/>
    <m/>
    <m/>
    <m/>
  </r>
  <r>
    <n v="749"/>
    <x v="1"/>
    <m/>
    <m/>
    <s v="https://www.youtube.com/watch?v=DL5cLBZou3I"/>
    <s v="Sushil Pandit, Well-Known Kashmir Activist In Conversation with Rajiv Malhotra"/>
    <x v="18"/>
    <m/>
    <m/>
    <n v="27000"/>
    <x v="616"/>
    <s v="1 month ago"/>
    <m/>
    <m/>
    <m/>
    <x v="3"/>
    <m/>
    <m/>
    <m/>
    <m/>
  </r>
  <r>
    <n v="750"/>
    <x v="1"/>
    <m/>
    <m/>
    <s v="https://www.youtube.com/watch?v=dHQ-HMVdPyE"/>
    <s v="Swami Nirmalanandanatha, Head of Sri Adichunchanagiri Muth, Discusses with Rajiv Malhotra"/>
    <x v="18"/>
    <m/>
    <m/>
    <n v="14000"/>
    <x v="617"/>
    <s v="1 month ago"/>
    <m/>
    <m/>
    <m/>
    <x v="3"/>
    <m/>
    <m/>
    <m/>
    <m/>
  </r>
  <r>
    <n v="751"/>
    <x v="1"/>
    <m/>
    <m/>
    <s v="https://www.youtube.com/watch?v=GtSbmTRia5Y"/>
    <s v="Rajiv Malhotra with Prof Mohan on &quot;Breaking India&quot; on Tharanga"/>
    <x v="18"/>
    <m/>
    <m/>
    <n v="6700"/>
    <x v="618"/>
    <s v="1 month ago"/>
    <m/>
    <m/>
    <m/>
    <x v="3"/>
    <m/>
    <m/>
    <m/>
    <m/>
  </r>
  <r>
    <n v="752"/>
    <x v="1"/>
    <m/>
    <m/>
    <s v="https://www.youtube.com/watch?v=dvcJI5yAd6M&amp;t=122s"/>
    <s v="Persecution of Hindu Gurus Who Challenge Hinduphobia"/>
    <x v="18"/>
    <m/>
    <m/>
    <n v="39000"/>
    <x v="619"/>
    <s v="1 month ago"/>
    <m/>
    <m/>
    <m/>
    <x v="3"/>
    <m/>
    <m/>
    <m/>
    <m/>
  </r>
  <r>
    <n v="753"/>
    <x v="1"/>
    <m/>
    <m/>
    <s v="https://www.youtube.com/watch?v=ahKeSqFT0Nk"/>
    <s v="Interfaith Marriages in USA. Discussion with Researcher"/>
    <x v="18"/>
    <m/>
    <m/>
    <n v="10000"/>
    <x v="620"/>
    <s v="1 month ago"/>
    <m/>
    <m/>
    <m/>
    <x v="3"/>
    <m/>
    <m/>
    <m/>
    <m/>
  </r>
  <r>
    <n v="754"/>
    <x v="1"/>
    <m/>
    <m/>
    <s v="https://www.youtube.com/watch?v=JB_lc00AWIE"/>
    <s v="V. Ramachandran, the Noted Neuroscientist, In Conversation with Rajiv Malhotra"/>
    <x v="18"/>
    <m/>
    <m/>
    <n v="22000"/>
    <x v="621"/>
    <s v="3 weeks ago"/>
    <m/>
    <m/>
    <m/>
    <x v="3"/>
    <m/>
    <m/>
    <m/>
    <m/>
  </r>
  <r>
    <n v="755"/>
    <x v="1"/>
    <m/>
    <m/>
    <s v="https://www.youtube.com/watch?v=9jjsiAFVdXc"/>
    <s v="&quot;Is Templeton Foundation Digesting Vedanta into Christianity?&quot;"/>
    <x v="18"/>
    <m/>
    <m/>
    <n v="12000"/>
    <x v="622"/>
    <s v="2 weeks ago"/>
    <m/>
    <m/>
    <m/>
    <x v="3"/>
    <m/>
    <m/>
    <m/>
    <m/>
  </r>
  <r>
    <n v="756"/>
    <x v="1"/>
    <m/>
    <m/>
    <s v="https://www.youtube.com/watch?v=9QSUsKZfoQA&amp;t=156s"/>
    <s v="Head of India's Top Sanskrit Research Center in Conversation with Rajiv Malhotra"/>
    <x v="18"/>
    <m/>
    <m/>
    <n v="17000"/>
    <x v="595"/>
    <s v="1 week ago"/>
    <m/>
    <m/>
    <m/>
    <x v="3"/>
    <m/>
    <m/>
    <m/>
    <m/>
  </r>
  <r>
    <n v="757"/>
    <x v="3"/>
    <m/>
    <s v="Done-Content"/>
    <s v="https://www.youtube.com/watch?v=79r5KYH0nBI"/>
    <s v="Aditi Banerjee Recollects How We Started Responding "/>
    <x v="18"/>
    <m/>
    <m/>
    <n v="9500"/>
    <x v="623"/>
    <s v="6 days ago"/>
    <m/>
    <m/>
    <m/>
    <x v="16"/>
    <m/>
    <m/>
    <m/>
    <m/>
  </r>
  <r>
    <n v="757.01"/>
    <x v="3"/>
    <m/>
    <s v="Done-Content"/>
    <m/>
    <m/>
    <x v="173"/>
    <s v="Chicago public school teacher laughs at garlanding of pilot"/>
    <m/>
    <m/>
    <x v="8"/>
    <m/>
    <d v="1899-12-30T00:00:53"/>
    <d v="1899-12-30T00:02:16"/>
    <d v="1899-12-30T00:01:23"/>
    <x v="16"/>
    <s v="https://www.youtube.com/embed/79r5KYH0nBI?start=53&amp;end=136&amp;autoplay=1"/>
    <m/>
    <m/>
    <m/>
  </r>
  <r>
    <n v="757.02"/>
    <x v="3"/>
    <m/>
    <s v="Done-Content"/>
    <m/>
    <m/>
    <x v="174"/>
    <s v="Risa Lila article and hinduphobia"/>
    <m/>
    <m/>
    <x v="8"/>
    <m/>
    <d v="1899-12-30T00:04:08"/>
    <d v="1899-12-30T00:06:40"/>
    <d v="1899-12-30T00:02:32"/>
    <x v="16"/>
    <s v="https://www.youtube.com/embed/79r5KYH0nBI?start=248&amp;end=400&amp;autoplay=1"/>
    <s v="Good"/>
    <s v="Good"/>
    <s v="Good"/>
  </r>
  <r>
    <n v="757.03"/>
    <x v="3"/>
    <m/>
    <s v="Done-Content"/>
    <m/>
    <m/>
    <x v="175"/>
    <s v="How Indian groups in Us did not support RM"/>
    <m/>
    <m/>
    <x v="8"/>
    <m/>
    <d v="1899-12-30T00:06:48"/>
    <d v="1899-12-30T00:08:15"/>
    <d v="1899-12-30T00:01:27"/>
    <x v="16"/>
    <s v="https://www.youtube.com/embed/79r5KYH0nBI?start=408&amp;end=495&amp;autoplay=1"/>
    <s v="Good"/>
    <s v="Good"/>
    <s v="Good"/>
  </r>
  <r>
    <n v="757.04"/>
    <x v="3"/>
    <m/>
    <s v="Done-Content"/>
    <m/>
    <m/>
    <x v="176"/>
    <s v="Wrongly represent holi, Mahabharatha, Bhagavad Gita etc"/>
    <m/>
    <m/>
    <x v="8"/>
    <m/>
    <d v="1899-12-30T00:08:35"/>
    <d v="1899-12-30T00:13:18"/>
    <d v="1899-12-30T00:04:43"/>
    <x v="16"/>
    <s v="https://www.youtube.com/embed/79r5KYH0nBI?start=515&amp;end=798&amp;autoplay=1"/>
    <s v="Good"/>
    <s v="Good"/>
    <s v="Good"/>
  </r>
  <r>
    <n v="757.05"/>
    <x v="3"/>
    <m/>
    <s v="Done-Content"/>
    <m/>
    <m/>
    <x v="177"/>
    <s v="Wendy Doninger's talk - &quot;Bhagavad Gita is a dishonest book&quot;"/>
    <m/>
    <m/>
    <x v="8"/>
    <m/>
    <d v="1899-12-30T00:13:18"/>
    <d v="1899-12-30T00:15:00"/>
    <d v="1899-12-30T00:01:42"/>
    <x v="16"/>
    <s v="https://www.youtube.com/embed/79r5KYH0nBI?start=798&amp;end=900&amp;autoplay=1"/>
    <s v="Good"/>
    <s v="Good"/>
    <s v="Good"/>
  </r>
  <r>
    <n v="757.06"/>
    <x v="3"/>
    <m/>
    <s v="Done-Content"/>
    <m/>
    <m/>
    <x v="178"/>
    <s v="Such leading academicians can have a strong influence even on Hindus who have grown up learning from the Indian culture and can shake their beliefs"/>
    <m/>
    <m/>
    <x v="8"/>
    <m/>
    <d v="1899-12-30T00:15:43"/>
    <d v="1899-12-30T00:19:36"/>
    <d v="1899-12-30T00:03:53"/>
    <x v="16"/>
    <s v="https://www.youtube.com/embed/79r5KYH0nBI?start=943&amp;end=1176&amp;autoplay=1"/>
    <s v="Good"/>
    <s v="Good"/>
    <s v="Good"/>
  </r>
  <r>
    <n v="757.07"/>
    <x v="3"/>
    <m/>
    <s v="Done-Content"/>
    <m/>
    <m/>
    <x v="179"/>
    <m/>
    <m/>
    <m/>
    <x v="8"/>
    <m/>
    <d v="1899-12-30T00:23:03"/>
    <d v="1899-12-30T00:27:52"/>
    <d v="1899-12-30T00:04:49"/>
    <x v="16"/>
    <s v="https://www.youtube.com/embed/79r5KYH0nBI?start=1383&amp;end=1672&amp;autoplay=1"/>
    <s v="Good"/>
    <s v="Good"/>
    <s v="Good"/>
  </r>
  <r>
    <n v="757.08"/>
    <x v="3"/>
    <m/>
    <s v="Done-Content"/>
    <m/>
    <m/>
    <x v="180"/>
    <s v="Kiss of the yogini, about tantra - delinking popular movements from hinduism, supression by bramanas"/>
    <m/>
    <m/>
    <x v="8"/>
    <m/>
    <d v="1899-12-30T00:29:05"/>
    <d v="1899-12-30T00:33:33"/>
    <d v="1899-12-30T00:04:28"/>
    <x v="16"/>
    <s v="https://www.youtube.com/embed/79r5KYH0nBI?start=1745&amp;end=2013&amp;autoplay=1"/>
    <s v="Good"/>
    <s v="Good"/>
    <s v="Good"/>
  </r>
  <r>
    <n v="757.09"/>
    <x v="3"/>
    <m/>
    <s v="Done-Content"/>
    <m/>
    <m/>
    <x v="181"/>
    <s v="Improper psychoanalysis of hinduism an expression of author's own trauma"/>
    <m/>
    <m/>
    <x v="8"/>
    <m/>
    <d v="1899-12-30T00:35:00"/>
    <d v="1899-12-30T00:38:00"/>
    <d v="1899-12-30T00:03:00"/>
    <x v="16"/>
    <s v="https://www.youtube.com/embed/79r5KYH0nBI?start=2100&amp;end=2280&amp;autoplay=1"/>
    <s v="Good"/>
    <s v="Good"/>
    <s v="Good"/>
  </r>
  <r>
    <n v="757.1"/>
    <x v="3"/>
    <m/>
    <s v="Done-Content"/>
    <m/>
    <m/>
    <x v="182"/>
    <m/>
    <m/>
    <m/>
    <x v="8"/>
    <m/>
    <d v="1899-12-30T00:38:02"/>
    <d v="1899-12-30T00:41:53"/>
    <d v="1899-12-30T00:03:51"/>
    <x v="16"/>
    <s v="https://www.youtube.com/embed/79r5KYH0nBI?start=2282&amp;end=2513&amp;autoplay=1"/>
    <s v="Good"/>
    <s v="Good"/>
    <s v="Good"/>
  </r>
  <r>
    <n v="757.11"/>
    <x v="3"/>
    <m/>
    <s v="Done-Content"/>
    <m/>
    <m/>
    <x v="183"/>
    <m/>
    <m/>
    <m/>
    <x v="8"/>
    <m/>
    <d v="1899-12-30T00:41:55"/>
    <d v="1899-12-30T00:44:58"/>
    <d v="1899-12-30T00:03:03"/>
    <x v="16"/>
    <s v="https://www.youtube.com/embed/79r5KYH0nBI?start=2515&amp;end=2698&amp;autoplay=1"/>
    <s v="Good"/>
    <s v="Good"/>
    <s v="Good"/>
  </r>
  <r>
    <n v="757.12"/>
    <x v="3"/>
    <m/>
    <s v="Done-Content"/>
    <m/>
    <m/>
    <x v="184"/>
    <s v="Response to this &quot;Neo Hinduism&quot; in RMs book Indra's Net"/>
    <m/>
    <m/>
    <x v="8"/>
    <m/>
    <d v="1899-12-30T00:45:00"/>
    <d v="1899-12-30T00:44:58"/>
    <d v="1899-12-30T00:47:36"/>
    <x v="16"/>
    <s v="https://www.youtube.com/embed/79r5KYH0nBI?start=2700&amp;end=2698&amp;autoplay=1"/>
    <s v="Good"/>
    <s v="Good"/>
    <s v="Good"/>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r>
    <m/>
    <x v="1"/>
    <m/>
    <m/>
    <m/>
    <m/>
    <x v="18"/>
    <m/>
    <m/>
    <m/>
    <x v="8"/>
    <m/>
    <m/>
    <m/>
    <m/>
    <x v="3"/>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6258BA3-1BFF-4A2B-B034-290DF5D64608}"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P12" firstHeaderRow="1" firstDataRow="3" firstDataCol="1"/>
  <pivotFields count="20">
    <pivotField subtotalTop="0" showAll="0"/>
    <pivotField axis="axisCol" subtotalTop="0" showAll="0">
      <items count="5">
        <item x="0"/>
        <item x="2"/>
        <item x="3"/>
        <item x="1"/>
        <item t="default"/>
      </items>
    </pivotField>
    <pivotField subtotalTop="0" showAll="0"/>
    <pivotField subtotalTop="0" showAll="0"/>
    <pivotField subtotalTop="0" showAll="0"/>
    <pivotField dataField="1" subtotalTop="0" showAll="0"/>
    <pivotField dataField="1" subtotalTop="0" showAll="0">
      <items count="186">
        <item x="87"/>
        <item x="94"/>
        <item x="157"/>
        <item x="60"/>
        <item x="154"/>
        <item x="173"/>
        <item x="2"/>
        <item x="167"/>
        <item x="22"/>
        <item x="156"/>
        <item x="7"/>
        <item x="14"/>
        <item x="74"/>
        <item x="155"/>
        <item x="177"/>
        <item x="58"/>
        <item x="55"/>
        <item x="3"/>
        <item x="28"/>
        <item x="37"/>
        <item x="83"/>
        <item x="16"/>
        <item x="17"/>
        <item x="42"/>
        <item x="23"/>
        <item x="79"/>
        <item x="180"/>
        <item x="27"/>
        <item x="78"/>
        <item x="63"/>
        <item x="166"/>
        <item x="148"/>
        <item x="36"/>
        <item x="61"/>
        <item x="151"/>
        <item x="152"/>
        <item x="114"/>
        <item x="113"/>
        <item x="117"/>
        <item x="116"/>
        <item x="119"/>
        <item x="115"/>
        <item x="96"/>
        <item x="8"/>
        <item x="67"/>
        <item x="38"/>
        <item x="131"/>
        <item x="147"/>
        <item x="9"/>
        <item x="169"/>
        <item x="50"/>
        <item x="68"/>
        <item x="179"/>
        <item x="69"/>
        <item x="70"/>
        <item x="158"/>
        <item x="100"/>
        <item x="124"/>
        <item x="171"/>
        <item x="82"/>
        <item x="75"/>
        <item x="120"/>
        <item x="160"/>
        <item x="159"/>
        <item x="104"/>
        <item x="126"/>
        <item x="125"/>
        <item x="51"/>
        <item x="93"/>
        <item x="149"/>
        <item x="91"/>
        <item x="150"/>
        <item x="15"/>
        <item x="21"/>
        <item x="168"/>
        <item x="11"/>
        <item x="165"/>
        <item x="10"/>
        <item x="24"/>
        <item x="92"/>
        <item x="122"/>
        <item x="123"/>
        <item x="127"/>
        <item x="153"/>
        <item x="141"/>
        <item x="142"/>
        <item x="143"/>
        <item x="110"/>
        <item x="73"/>
        <item x="184"/>
        <item x="178"/>
        <item x="89"/>
        <item x="39"/>
        <item x="41"/>
        <item x="5"/>
        <item x="176"/>
        <item x="19"/>
        <item x="25"/>
        <item x="84"/>
        <item x="102"/>
        <item x="4"/>
        <item x="97"/>
        <item x="183"/>
        <item x="85"/>
        <item x="106"/>
        <item x="31"/>
        <item x="29"/>
        <item x="43"/>
        <item x="26"/>
        <item x="59"/>
        <item x="161"/>
        <item x="34"/>
        <item x="32"/>
        <item x="35"/>
        <item x="33"/>
        <item x="174"/>
        <item x="30"/>
        <item x="6"/>
        <item x="112"/>
        <item x="181"/>
        <item x="47"/>
        <item x="65"/>
        <item x="109"/>
        <item x="164"/>
        <item x="111"/>
        <item x="64"/>
        <item x="1"/>
        <item x="0"/>
        <item x="13"/>
        <item x="53"/>
        <item x="20"/>
        <item x="46"/>
        <item x="54"/>
        <item x="162"/>
        <item x="76"/>
        <item x="175"/>
        <item x="48"/>
        <item x="99"/>
        <item x="129"/>
        <item x="44"/>
        <item x="49"/>
        <item x="146"/>
        <item x="138"/>
        <item x="139"/>
        <item x="133"/>
        <item x="134"/>
        <item x="132"/>
        <item x="137"/>
        <item x="135"/>
        <item x="144"/>
        <item x="140"/>
        <item x="145"/>
        <item x="136"/>
        <item x="182"/>
        <item x="72"/>
        <item x="81"/>
        <item x="95"/>
        <item x="103"/>
        <item x="108"/>
        <item x="163"/>
        <item x="90"/>
        <item x="107"/>
        <item x="121"/>
        <item x="66"/>
        <item x="80"/>
        <item x="86"/>
        <item x="62"/>
        <item x="45"/>
        <item x="77"/>
        <item x="88"/>
        <item x="172"/>
        <item x="12"/>
        <item x="52"/>
        <item x="170"/>
        <item x="40"/>
        <item x="130"/>
        <item x="71"/>
        <item x="118"/>
        <item x="105"/>
        <item x="56"/>
        <item x="57"/>
        <item x="128"/>
        <item x="98"/>
        <item x="101"/>
        <item x="18"/>
        <item t="default"/>
      </items>
    </pivotField>
    <pivotField subtotalTop="0" showAll="0"/>
    <pivotField subtotalTop="0" showAll="0"/>
    <pivotField subtotalTop="0" showAll="0"/>
    <pivotField dataField="1" showAll="0">
      <items count="625">
        <item x="335"/>
        <item x="340"/>
        <item x="382"/>
        <item x="4"/>
        <item x="384"/>
        <item x="529"/>
        <item x="519"/>
        <item x="416"/>
        <item x="446"/>
        <item x="378"/>
        <item x="369"/>
        <item x="314"/>
        <item x="533"/>
        <item x="522"/>
        <item x="352"/>
        <item x="385"/>
        <item x="328"/>
        <item x="3"/>
        <item x="321"/>
        <item x="423"/>
        <item x="366"/>
        <item x="19"/>
        <item x="414"/>
        <item x="527"/>
        <item x="156"/>
        <item x="332"/>
        <item x="32"/>
        <item x="397"/>
        <item x="530"/>
        <item x="524"/>
        <item x="387"/>
        <item x="21"/>
        <item x="327"/>
        <item x="232"/>
        <item x="442"/>
        <item x="188"/>
        <item x="373"/>
        <item x="407"/>
        <item x="432"/>
        <item x="526"/>
        <item x="441"/>
        <item x="158"/>
        <item x="159"/>
        <item x="218"/>
        <item x="415"/>
        <item x="184"/>
        <item x="372"/>
        <item x="381"/>
        <item x="219"/>
        <item x="309"/>
        <item x="82"/>
        <item x="350"/>
        <item x="424"/>
        <item x="406"/>
        <item x="404"/>
        <item x="307"/>
        <item x="154"/>
        <item x="236"/>
        <item x="326"/>
        <item x="505"/>
        <item x="133"/>
        <item x="364"/>
        <item x="376"/>
        <item x="365"/>
        <item x="346"/>
        <item x="193"/>
        <item x="532"/>
        <item x="470"/>
        <item x="539"/>
        <item x="250"/>
        <item x="395"/>
        <item x="507"/>
        <item x="509"/>
        <item x="313"/>
        <item x="60"/>
        <item x="359"/>
        <item x="377"/>
        <item x="380"/>
        <item x="394"/>
        <item x="525"/>
        <item x="157"/>
        <item x="349"/>
        <item x="161"/>
        <item x="2"/>
        <item x="338"/>
        <item x="375"/>
        <item x="343"/>
        <item x="12"/>
        <item x="245"/>
        <item x="227"/>
        <item x="199"/>
        <item x="153"/>
        <item x="455"/>
        <item x="351"/>
        <item x="403"/>
        <item x="155"/>
        <item x="386"/>
        <item x="541"/>
        <item x="11"/>
        <item x="390"/>
        <item x="18"/>
        <item x="320"/>
        <item x="371"/>
        <item x="355"/>
        <item x="209"/>
        <item x="325"/>
        <item x="46"/>
        <item x="316"/>
        <item x="336"/>
        <item x="230"/>
        <item x="197"/>
        <item x="226"/>
        <item x="421"/>
        <item x="15"/>
        <item x="427"/>
        <item x="198"/>
        <item x="213"/>
        <item x="17"/>
        <item x="324"/>
        <item x="497"/>
        <item x="80"/>
        <item x="233"/>
        <item x="368"/>
        <item x="166"/>
        <item x="391"/>
        <item x="345"/>
        <item x="374"/>
        <item x="493"/>
        <item x="333"/>
        <item x="337"/>
        <item x="361"/>
        <item x="129"/>
        <item x="10"/>
        <item x="192"/>
        <item x="212"/>
        <item x="563"/>
        <item x="143"/>
        <item x="444"/>
        <item x="40"/>
        <item x="399"/>
        <item x="206"/>
        <item x="426"/>
        <item x="27"/>
        <item x="512"/>
        <item x="48"/>
        <item x="38"/>
        <item x="6"/>
        <item x="362"/>
        <item x="389"/>
        <item x="334"/>
        <item x="360"/>
        <item x="43"/>
        <item x="445"/>
        <item x="9"/>
        <item x="513"/>
        <item x="482"/>
        <item x="69"/>
        <item x="13"/>
        <item x="228"/>
        <item x="443"/>
        <item x="235"/>
        <item x="396"/>
        <item x="330"/>
        <item x="496"/>
        <item x="498"/>
        <item x="518"/>
        <item x="495"/>
        <item x="383"/>
        <item x="297"/>
        <item x="492"/>
        <item x="348"/>
        <item x="408"/>
        <item x="296"/>
        <item x="248"/>
        <item x="508"/>
        <item x="467"/>
        <item x="548"/>
        <item x="504"/>
        <item x="128"/>
        <item x="5"/>
        <item x="537"/>
        <item x="429"/>
        <item x="14"/>
        <item x="534"/>
        <item x="251"/>
        <item x="217"/>
        <item x="47"/>
        <item x="400"/>
        <item x="225"/>
        <item x="531"/>
        <item x="109"/>
        <item x="200"/>
        <item x="339"/>
        <item x="388"/>
        <item x="204"/>
        <item x="221"/>
        <item x="393"/>
        <item x="413"/>
        <item x="191"/>
        <item x="31"/>
        <item x="298"/>
        <item x="152"/>
        <item x="503"/>
        <item x="357"/>
        <item x="417"/>
        <item x="579"/>
        <item x="66"/>
        <item x="243"/>
        <item x="311"/>
        <item x="449"/>
        <item x="182"/>
        <item x="56"/>
        <item x="42"/>
        <item x="30"/>
        <item x="263"/>
        <item x="331"/>
        <item x="398"/>
        <item x="603"/>
        <item x="520"/>
        <item x="44"/>
        <item x="604"/>
        <item x="356"/>
        <item x="310"/>
        <item x="428"/>
        <item x="135"/>
        <item x="59"/>
        <item x="420"/>
        <item x="506"/>
        <item x="160"/>
        <item x="16"/>
        <item x="183"/>
        <item x="367"/>
        <item x="587"/>
        <item x="466"/>
        <item x="93"/>
        <item x="35"/>
        <item x="329"/>
        <item x="51"/>
        <item x="561"/>
        <item x="315"/>
        <item x="476"/>
        <item x="487"/>
        <item x="201"/>
        <item x="440"/>
        <item x="205"/>
        <item x="39"/>
        <item x="178"/>
        <item x="354"/>
        <item x="211"/>
        <item x="542"/>
        <item x="480"/>
        <item x="242"/>
        <item x="84"/>
        <item x="20"/>
        <item x="64"/>
        <item x="203"/>
        <item x="425"/>
        <item x="33"/>
        <item x="220"/>
        <item x="405"/>
        <item x="23"/>
        <item x="26"/>
        <item x="282"/>
        <item x="34"/>
        <item x="412"/>
        <item x="29"/>
        <item x="317"/>
        <item x="562"/>
        <item x="208"/>
        <item x="538"/>
        <item x="28"/>
        <item x="45"/>
        <item x="24"/>
        <item x="353"/>
        <item x="36"/>
        <item x="224"/>
        <item x="181"/>
        <item x="418"/>
        <item x="462"/>
        <item x="422"/>
        <item x="70"/>
        <item x="57"/>
        <item x="299"/>
        <item x="194"/>
        <item x="247"/>
        <item x="41"/>
        <item x="49"/>
        <item x="53"/>
        <item x="195"/>
        <item x="55"/>
        <item x="63"/>
        <item x="202"/>
        <item x="196"/>
        <item x="22"/>
        <item x="54"/>
        <item x="308"/>
        <item x="37"/>
        <item x="25"/>
        <item x="0"/>
        <item x="481"/>
        <item x="79"/>
        <item x="189"/>
        <item x="52"/>
        <item x="401"/>
        <item x="162"/>
        <item x="464"/>
        <item x="50"/>
        <item x="1"/>
        <item x="7"/>
        <item x="577"/>
        <item x="86"/>
        <item x="499"/>
        <item x="71"/>
        <item x="141"/>
        <item x="419"/>
        <item x="478"/>
        <item x="300"/>
        <item x="411"/>
        <item x="223"/>
        <item x="473"/>
        <item x="62"/>
        <item x="437"/>
        <item x="304"/>
        <item x="112"/>
        <item x="127"/>
        <item x="94"/>
        <item x="358"/>
        <item x="81"/>
        <item x="100"/>
        <item x="281"/>
        <item x="180"/>
        <item x="602"/>
        <item x="216"/>
        <item x="323"/>
        <item x="132"/>
        <item x="116"/>
        <item x="582"/>
        <item x="598"/>
        <item x="536"/>
        <item x="500"/>
        <item x="207"/>
        <item x="439"/>
        <item x="489"/>
        <item x="392"/>
        <item x="115"/>
        <item x="591"/>
        <item x="465"/>
        <item x="576"/>
        <item x="341"/>
        <item x="468"/>
        <item x="370"/>
        <item x="586"/>
        <item x="140"/>
        <item x="567"/>
        <item x="185"/>
        <item x="583"/>
        <item x="557"/>
        <item x="122"/>
        <item x="484"/>
        <item x="574"/>
        <item x="347"/>
        <item x="179"/>
        <item x="451"/>
        <item x="559"/>
        <item x="175"/>
        <item x="590"/>
        <item x="485"/>
        <item x="342"/>
        <item x="479"/>
        <item x="450"/>
        <item x="502"/>
        <item x="249"/>
        <item x="601"/>
        <item x="171"/>
        <item x="452"/>
        <item x="87"/>
        <item x="453"/>
        <item x="435"/>
        <item x="272"/>
        <item x="379"/>
        <item x="471"/>
        <item x="214"/>
        <item x="257"/>
        <item x="599"/>
        <item x="584"/>
        <item x="585"/>
        <item x="581"/>
        <item x="246"/>
        <item x="558"/>
        <item x="594"/>
        <item x="448"/>
        <item x="244"/>
        <item x="142"/>
        <item x="456"/>
        <item x="580"/>
        <item x="457"/>
        <item x="454"/>
        <item x="261"/>
        <item x="303"/>
        <item x="130"/>
        <item x="95"/>
        <item x="461"/>
        <item x="139"/>
        <item x="460"/>
        <item x="285"/>
        <item x="231"/>
        <item x="113"/>
        <item x="490"/>
        <item x="560"/>
        <item x="570"/>
        <item x="262"/>
        <item x="592"/>
        <item x="528"/>
        <item x="344"/>
        <item x="554"/>
        <item x="150"/>
        <item x="241"/>
        <item x="605"/>
        <item x="302"/>
        <item x="458"/>
        <item x="596"/>
        <item x="111"/>
        <item x="102"/>
        <item x="588"/>
        <item x="238"/>
        <item x="600"/>
        <item x="264"/>
        <item x="433"/>
        <item x="237"/>
        <item x="578"/>
        <item x="89"/>
        <item x="472"/>
        <item x="77"/>
        <item x="67"/>
        <item x="438"/>
        <item x="301"/>
        <item x="75"/>
        <item x="546"/>
        <item x="98"/>
        <item x="168"/>
        <item x="431"/>
        <item x="144"/>
        <item x="190"/>
        <item x="589"/>
        <item x="215"/>
        <item x="593"/>
        <item x="170"/>
        <item x="90"/>
        <item x="110"/>
        <item x="124"/>
        <item x="556"/>
        <item x="619"/>
        <item x="402"/>
        <item x="410"/>
        <item x="85"/>
        <item x="552"/>
        <item x="65"/>
        <item x="573"/>
        <item x="459"/>
        <item x="566"/>
        <item x="253"/>
        <item x="488"/>
        <item x="97"/>
        <item x="547"/>
        <item x="553"/>
        <item x="125"/>
        <item x="555"/>
        <item x="138"/>
        <item x="114"/>
        <item x="210"/>
        <item x="501"/>
        <item x="597"/>
        <item x="575"/>
        <item x="260"/>
        <item x="174"/>
        <item x="186"/>
        <item x="134"/>
        <item x="363"/>
        <item x="447"/>
        <item x="107"/>
        <item x="229"/>
        <item x="564"/>
        <item x="78"/>
        <item x="615"/>
        <item x="517"/>
        <item x="148"/>
        <item x="254"/>
        <item x="126"/>
        <item x="259"/>
        <item x="234"/>
        <item x="616"/>
        <item x="568"/>
        <item x="266"/>
        <item x="258"/>
        <item x="137"/>
        <item x="595"/>
        <item x="409"/>
        <item x="486"/>
        <item x="222"/>
        <item x="96"/>
        <item x="463"/>
        <item x="572"/>
        <item x="68"/>
        <item x="91"/>
        <item x="118"/>
        <item x="61"/>
        <item x="252"/>
        <item x="117"/>
        <item x="58"/>
        <item x="145"/>
        <item x="136"/>
        <item x="76"/>
        <item x="119"/>
        <item x="551"/>
        <item x="434"/>
        <item x="436"/>
        <item x="571"/>
        <item x="515"/>
        <item x="510"/>
        <item x="318"/>
        <item x="131"/>
        <item x="606"/>
        <item x="613"/>
        <item x="469"/>
        <item x="239"/>
        <item x="88"/>
        <item x="289"/>
        <item x="177"/>
        <item x="187"/>
        <item x="475"/>
        <item x="612"/>
        <item x="147"/>
        <item x="83"/>
        <item x="523"/>
        <item x="73"/>
        <item x="146"/>
        <item x="569"/>
        <item x="617"/>
        <item x="611"/>
        <item x="540"/>
        <item x="620"/>
        <item x="511"/>
        <item x="430"/>
        <item x="477"/>
        <item x="609"/>
        <item x="565"/>
        <item x="483"/>
        <item x="491"/>
        <item x="614"/>
        <item x="610"/>
        <item x="99"/>
        <item x="151"/>
        <item x="176"/>
        <item x="120"/>
        <item x="121"/>
        <item x="74"/>
        <item x="279"/>
        <item x="514"/>
        <item x="623"/>
        <item x="621"/>
        <item x="106"/>
        <item x="165"/>
        <item x="265"/>
        <item x="293"/>
        <item x="123"/>
        <item x="104"/>
        <item x="169"/>
        <item x="543"/>
        <item x="275"/>
        <item x="521"/>
        <item x="255"/>
        <item x="167"/>
        <item x="545"/>
        <item x="312"/>
        <item x="173"/>
        <item x="256"/>
        <item x="295"/>
        <item x="544"/>
        <item x="549"/>
        <item x="278"/>
        <item x="550"/>
        <item x="305"/>
        <item x="280"/>
        <item x="92"/>
        <item x="72"/>
        <item x="286"/>
        <item x="474"/>
        <item x="622"/>
        <item x="284"/>
        <item x="494"/>
        <item x="608"/>
        <item x="322"/>
        <item x="269"/>
        <item x="267"/>
        <item x="607"/>
        <item x="240"/>
        <item x="283"/>
        <item x="276"/>
        <item x="319"/>
        <item x="163"/>
        <item x="271"/>
        <item x="294"/>
        <item x="149"/>
        <item x="277"/>
        <item x="618"/>
        <item x="172"/>
        <item x="270"/>
        <item x="105"/>
        <item x="274"/>
        <item x="291"/>
        <item x="103"/>
        <item x="535"/>
        <item x="306"/>
        <item x="164"/>
        <item x="288"/>
        <item x="273"/>
        <item x="268"/>
        <item x="101"/>
        <item x="290"/>
        <item x="292"/>
        <item x="108"/>
        <item x="287"/>
        <item x="516"/>
        <item x="8"/>
        <item t="default"/>
      </items>
    </pivotField>
    <pivotField subtotalTop="0" showAll="0"/>
    <pivotField showAll="0"/>
    <pivotField subtotalTop="0" showAll="0"/>
    <pivotField subtotalTop="0" showAll="0"/>
    <pivotField axis="axisRow" subtotalTop="0" showAll="0">
      <items count="8">
        <item x="0"/>
        <item x="1"/>
        <item x="2"/>
        <item x="3"/>
        <item x="4"/>
        <item x="5"/>
        <item x="6"/>
        <item t="default"/>
      </items>
    </pivotField>
    <pivotField subtotalTop="0" showAll="0"/>
    <pivotField subtotalTop="0" showAll="0"/>
    <pivotField subtotalTop="0" showAll="0"/>
    <pivotField subtotalTop="0" showAll="0"/>
  </pivotFields>
  <rowFields count="1">
    <field x="15"/>
  </rowFields>
  <rowItems count="7">
    <i>
      <x/>
    </i>
    <i>
      <x v="1"/>
    </i>
    <i>
      <x v="2"/>
    </i>
    <i>
      <x v="3"/>
    </i>
    <i>
      <x v="4"/>
    </i>
    <i>
      <x v="5"/>
    </i>
    <i t="grand">
      <x/>
    </i>
  </rowItems>
  <colFields count="2">
    <field x="1"/>
    <field x="-2"/>
  </colFields>
  <colItems count="15">
    <i>
      <x/>
      <x/>
    </i>
    <i r="1" i="1">
      <x v="1"/>
    </i>
    <i r="1" i="2">
      <x v="2"/>
    </i>
    <i>
      <x v="1"/>
      <x/>
    </i>
    <i r="1" i="1">
      <x v="1"/>
    </i>
    <i r="1" i="2">
      <x v="2"/>
    </i>
    <i>
      <x v="2"/>
      <x/>
    </i>
    <i r="1" i="1">
      <x v="1"/>
    </i>
    <i r="1" i="2">
      <x v="2"/>
    </i>
    <i>
      <x v="3"/>
      <x/>
    </i>
    <i r="1" i="1">
      <x v="1"/>
    </i>
    <i r="1" i="2">
      <x v="2"/>
    </i>
    <i t="grand">
      <x/>
    </i>
    <i t="grand" i="1">
      <x/>
    </i>
    <i t="grand" i="2">
      <x/>
    </i>
  </colItems>
  <dataFields count="3">
    <dataField name="Count of Video Title" fld="5" subtotal="count" baseField="0" baseItem="0"/>
    <dataField name="Sum of Video Duration" fld="10" baseField="15" baseItem="2" numFmtId="170"/>
    <dataField name="Count of Clip Title" fld="6" subtotal="count" baseField="0" baseItem="0"/>
  </dataFields>
  <formats count="13">
    <format dxfId="12">
      <pivotArea outline="0" collapsedLevelsAreSubtotals="1" fieldPosition="0"/>
    </format>
    <format dxfId="11">
      <pivotArea field="1" type="button" dataOnly="0" labelOnly="1" outline="0" axis="axisCol" fieldPosition="0"/>
    </format>
    <format dxfId="10">
      <pivotArea field="-2" type="button" dataOnly="0" labelOnly="1" outline="0" axis="axisCol" fieldPosition="1"/>
    </format>
    <format dxfId="9">
      <pivotArea type="topRight" dataOnly="0" labelOnly="1" outline="0" fieldPosition="0"/>
    </format>
    <format dxfId="8">
      <pivotArea dataOnly="0" labelOnly="1" fieldPosition="0">
        <references count="1">
          <reference field="1" count="0"/>
        </references>
      </pivotArea>
    </format>
    <format dxfId="7">
      <pivotArea field="1" dataOnly="0" labelOnly="1" grandCol="1" outline="0" axis="axisCol" fieldPosition="0">
        <references count="1">
          <reference field="4294967294" count="1" selected="0">
            <x v="0"/>
          </reference>
        </references>
      </pivotArea>
    </format>
    <format dxfId="6">
      <pivotArea field="1" dataOnly="0" labelOnly="1" grandCol="1" outline="0" axis="axisCol" fieldPosition="0">
        <references count="1">
          <reference field="4294967294" count="1" selected="0">
            <x v="1"/>
          </reference>
        </references>
      </pivotArea>
    </format>
    <format dxfId="5">
      <pivotArea field="1" dataOnly="0" labelOnly="1" grandCol="1" outline="0" axis="axisCol" fieldPosition="0">
        <references count="1">
          <reference field="4294967294" count="1" selected="0">
            <x v="0"/>
          </reference>
        </references>
      </pivotArea>
    </format>
    <format dxfId="4">
      <pivotArea field="1" dataOnly="0" labelOnly="1" grandCol="1" outline="0" axis="axisCol" fieldPosition="0">
        <references count="1">
          <reference field="4294967294" count="1" selected="0">
            <x v="1"/>
          </reference>
        </references>
      </pivotArea>
    </format>
    <format dxfId="3">
      <pivotArea dataOnly="0" labelOnly="1" outline="0" fieldPosition="0">
        <references count="2">
          <reference field="4294967294" count="2">
            <x v="0"/>
            <x v="1"/>
          </reference>
          <reference field="1" count="1" selected="0">
            <x v="0"/>
          </reference>
        </references>
      </pivotArea>
    </format>
    <format dxfId="2">
      <pivotArea dataOnly="0" labelOnly="1" outline="0" fieldPosition="0">
        <references count="2">
          <reference field="4294967294" count="2">
            <x v="0"/>
            <x v="1"/>
          </reference>
          <reference field="1" count="1" selected="0">
            <x v="1"/>
          </reference>
        </references>
      </pivotArea>
    </format>
    <format dxfId="1">
      <pivotArea dataOnly="0" labelOnly="1" outline="0" fieldPosition="0">
        <references count="2">
          <reference field="4294967294" count="2">
            <x v="0"/>
            <x v="1"/>
          </reference>
          <reference field="1" count="1" selected="0">
            <x v="2"/>
          </reference>
        </references>
      </pivotArea>
    </format>
    <format dxfId="0">
      <pivotArea dataOnly="0" labelOnly="1" outline="0" fieldPosition="0">
        <references count="2">
          <reference field="4294967294" count="2">
            <x v="0"/>
            <x v="1"/>
          </reference>
          <reference field="1" count="1" selected="0">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17" Type="http://schemas.openxmlformats.org/officeDocument/2006/relationships/hyperlink" Target="https://www.youtube.com/embed/-udb2VYB5uo?start=275&amp;end=863&amp;autoplay=1" TargetMode="External"/><Relationship Id="rId671" Type="http://schemas.openxmlformats.org/officeDocument/2006/relationships/hyperlink" Target="https://www.youtube.com/watch?v=NMCXHN1fW9k" TargetMode="External"/><Relationship Id="rId769" Type="http://schemas.openxmlformats.org/officeDocument/2006/relationships/hyperlink" Target="https://www.youtube.com/watch?v=1jVMegap8Ws" TargetMode="External"/><Relationship Id="rId21" Type="http://schemas.openxmlformats.org/officeDocument/2006/relationships/hyperlink" Target="https://www.youtube.com/watch?v=Wpkt3HpzBTs" TargetMode="External"/><Relationship Id="rId324" Type="http://schemas.openxmlformats.org/officeDocument/2006/relationships/hyperlink" Target="https://www.youtube.com/watch?v=Au_HvuB2IQc" TargetMode="External"/><Relationship Id="rId531" Type="http://schemas.openxmlformats.org/officeDocument/2006/relationships/hyperlink" Target="https://www.youtube.com/watch?v=sTYcLqa56Z4" TargetMode="External"/><Relationship Id="rId629" Type="http://schemas.openxmlformats.org/officeDocument/2006/relationships/hyperlink" Target="https://www.youtube.com/watch?v=NNu6sJz2cPI" TargetMode="External"/><Relationship Id="rId170" Type="http://schemas.openxmlformats.org/officeDocument/2006/relationships/hyperlink" Target="https://www.youtube.com/embed/YFmL65VsWdk?start=905&amp;end=950&amp;autoplay=1" TargetMode="External"/><Relationship Id="rId836" Type="http://schemas.openxmlformats.org/officeDocument/2006/relationships/hyperlink" Target="https://www.youtube.com/watch?v=1UnsEQPK3PQ" TargetMode="External"/><Relationship Id="rId268" Type="http://schemas.openxmlformats.org/officeDocument/2006/relationships/hyperlink" Target="https://www.youtube.com/watch?v=vnw9dW2QgYk" TargetMode="External"/><Relationship Id="rId475" Type="http://schemas.openxmlformats.org/officeDocument/2006/relationships/hyperlink" Target="https://www.youtube.com/watch?v=jB9efRnouaI" TargetMode="External"/><Relationship Id="rId682" Type="http://schemas.openxmlformats.org/officeDocument/2006/relationships/hyperlink" Target="https://www.youtube.com/watch?v=uTyoGVNa7FA" TargetMode="External"/><Relationship Id="rId903" Type="http://schemas.openxmlformats.org/officeDocument/2006/relationships/hyperlink" Target="https://www.youtube.com/watch?v=SPD35eCSgDk" TargetMode="External"/><Relationship Id="rId32" Type="http://schemas.openxmlformats.org/officeDocument/2006/relationships/hyperlink" Target="https://www.youtube.com/embed/Uq2PJjcHiqI?start=623&amp;end=663&amp;autoplay=1" TargetMode="External"/><Relationship Id="rId128" Type="http://schemas.openxmlformats.org/officeDocument/2006/relationships/hyperlink" Target="https://www.youtube.com/watch?v=ByaheAphduQ" TargetMode="External"/><Relationship Id="rId335" Type="http://schemas.openxmlformats.org/officeDocument/2006/relationships/hyperlink" Target="https://www.youtube.com/embed/cpZPvFvzNlc?start=1452&amp;end=1546&amp;autoplay=1" TargetMode="External"/><Relationship Id="rId542" Type="http://schemas.openxmlformats.org/officeDocument/2006/relationships/hyperlink" Target="https://www.youtube.com/watch?v=VJZ4LARPMJU&amp;t=79s" TargetMode="External"/><Relationship Id="rId181" Type="http://schemas.openxmlformats.org/officeDocument/2006/relationships/hyperlink" Target="https://www.youtube.com/embed/uDANJcQm-So?start=1194&amp;end=1292&amp;autoplay=1" TargetMode="External"/><Relationship Id="rId402" Type="http://schemas.openxmlformats.org/officeDocument/2006/relationships/hyperlink" Target="https://www.youtube.com/watch?v=bEc29vVNLOc" TargetMode="External"/><Relationship Id="rId847" Type="http://schemas.openxmlformats.org/officeDocument/2006/relationships/hyperlink" Target="https://www.youtube.com/watch?v=4ZkNnR--tMY" TargetMode="External"/><Relationship Id="rId279" Type="http://schemas.openxmlformats.org/officeDocument/2006/relationships/hyperlink" Target="https://www.youtube.com/watch?v=08Xwx9vsy6w" TargetMode="External"/><Relationship Id="rId486" Type="http://schemas.openxmlformats.org/officeDocument/2006/relationships/hyperlink" Target="https://www.youtube.com/watch?v=WkR5PD16sCg" TargetMode="External"/><Relationship Id="rId693" Type="http://schemas.openxmlformats.org/officeDocument/2006/relationships/hyperlink" Target="https://www.youtube.com/watch?v=74BW9K7eGtY&amp;t=21s" TargetMode="External"/><Relationship Id="rId707" Type="http://schemas.openxmlformats.org/officeDocument/2006/relationships/hyperlink" Target="https://www.youtube.com/watch?v=av1BWeMbl1Q" TargetMode="External"/><Relationship Id="rId914" Type="http://schemas.openxmlformats.org/officeDocument/2006/relationships/hyperlink" Target="https://www.youtube.com/watch?v=ahKeSqFT0Nk" TargetMode="External"/><Relationship Id="rId43" Type="http://schemas.openxmlformats.org/officeDocument/2006/relationships/hyperlink" Target="https://www.youtube.com/watch?v=gbWoqwJKhbM" TargetMode="External"/><Relationship Id="rId139" Type="http://schemas.openxmlformats.org/officeDocument/2006/relationships/hyperlink" Target="https://www.youtube.com/embed/ByaheAphduQ?start=2310&amp;end=2555&amp;autoplay=1" TargetMode="External"/><Relationship Id="rId346" Type="http://schemas.openxmlformats.org/officeDocument/2006/relationships/hyperlink" Target="https://www.youtube.com/watch?v=zqnotAbf-Cc" TargetMode="External"/><Relationship Id="rId553" Type="http://schemas.openxmlformats.org/officeDocument/2006/relationships/hyperlink" Target="https://www.youtube.com/watch?v=orOA4dPxE98" TargetMode="External"/><Relationship Id="rId760" Type="http://schemas.openxmlformats.org/officeDocument/2006/relationships/hyperlink" Target="https://www.youtube.com/watch?v=ZoDHsv06lNI" TargetMode="External"/><Relationship Id="rId192" Type="http://schemas.openxmlformats.org/officeDocument/2006/relationships/hyperlink" Target="https://www.youtube.com/watch?v=O0wEzvYOTJw" TargetMode="External"/><Relationship Id="rId206" Type="http://schemas.openxmlformats.org/officeDocument/2006/relationships/hyperlink" Target="https://www.youtube.com/embed/fjD9BVlmPoA?start=2345&amp;end=2440&amp;autoplay=1" TargetMode="External"/><Relationship Id="rId413" Type="http://schemas.openxmlformats.org/officeDocument/2006/relationships/hyperlink" Target="https://www.youtube.com/watch?v=JNg9hu1QURw" TargetMode="External"/><Relationship Id="rId858" Type="http://schemas.openxmlformats.org/officeDocument/2006/relationships/hyperlink" Target="https://www.youtube.com/watch?v=vhlPSbFlxPI" TargetMode="External"/><Relationship Id="rId497" Type="http://schemas.openxmlformats.org/officeDocument/2006/relationships/hyperlink" Target="https://www.youtube.com/watch?v=Xk3tQcQ1QcQ" TargetMode="External"/><Relationship Id="rId620" Type="http://schemas.openxmlformats.org/officeDocument/2006/relationships/hyperlink" Target="https://www.youtube.com/watch?v=5HrBZvxcPmY" TargetMode="External"/><Relationship Id="rId718" Type="http://schemas.openxmlformats.org/officeDocument/2006/relationships/hyperlink" Target="https://www.youtube.com/watch?v=07rLdtPRbEE" TargetMode="External"/><Relationship Id="rId925" Type="http://schemas.openxmlformats.org/officeDocument/2006/relationships/hyperlink" Target="https://www.youtube.com/embed/79r5KYH0nBI?start=1383&amp;end=1672&amp;autoplay=1" TargetMode="External"/><Relationship Id="rId357" Type="http://schemas.openxmlformats.org/officeDocument/2006/relationships/hyperlink" Target="https://www.youtube.com/watch?v=L2rJctVLi3M" TargetMode="External"/><Relationship Id="rId54" Type="http://schemas.openxmlformats.org/officeDocument/2006/relationships/hyperlink" Target="https://www.youtube.com/embed/N0PD3TuLvoo?start=304&amp;end=527&amp;autoplay=1" TargetMode="External"/><Relationship Id="rId217" Type="http://schemas.openxmlformats.org/officeDocument/2006/relationships/hyperlink" Target="https://www.youtube.com/watch?v=-WPYCv8jdJc" TargetMode="External"/><Relationship Id="rId564" Type="http://schemas.openxmlformats.org/officeDocument/2006/relationships/hyperlink" Target="https://www.youtube.com/watch?v=QrVLpFoGRb4" TargetMode="External"/><Relationship Id="rId771" Type="http://schemas.openxmlformats.org/officeDocument/2006/relationships/hyperlink" Target="https://www.youtube.com/watch?v=8usGAaPq-WY" TargetMode="External"/><Relationship Id="rId869" Type="http://schemas.openxmlformats.org/officeDocument/2006/relationships/hyperlink" Target="https://www.youtube.com/watch?v=DBYSIkWsAOI" TargetMode="External"/><Relationship Id="rId424" Type="http://schemas.openxmlformats.org/officeDocument/2006/relationships/hyperlink" Target="https://www.youtube.com/watch?v=ziCW-l-SXRM" TargetMode="External"/><Relationship Id="rId631" Type="http://schemas.openxmlformats.org/officeDocument/2006/relationships/hyperlink" Target="https://www.youtube.com/watch?v=GiNhw1WJNXc" TargetMode="External"/><Relationship Id="rId729" Type="http://schemas.openxmlformats.org/officeDocument/2006/relationships/hyperlink" Target="https://www.youtube.com/watch?v=aBwX_u__31I" TargetMode="External"/><Relationship Id="rId270" Type="http://schemas.openxmlformats.org/officeDocument/2006/relationships/hyperlink" Target="https://www.youtube.com/watch?v=nbZhVwfCRMU" TargetMode="External"/><Relationship Id="rId65" Type="http://schemas.openxmlformats.org/officeDocument/2006/relationships/hyperlink" Target="https://www.youtube.com/embed/BEz8X5SUwjY?start=67&amp;end=355&amp;autoplay=1" TargetMode="External"/><Relationship Id="rId130" Type="http://schemas.openxmlformats.org/officeDocument/2006/relationships/hyperlink" Target="https://www.youtube.com/embed/ByaheAphduQ?start=535&amp;end=956&amp;autoplay=1" TargetMode="External"/><Relationship Id="rId368" Type="http://schemas.openxmlformats.org/officeDocument/2006/relationships/hyperlink" Target="https://www.youtube.com/watch?v=RKYffxIB9EM" TargetMode="External"/><Relationship Id="rId575" Type="http://schemas.openxmlformats.org/officeDocument/2006/relationships/hyperlink" Target="https://www.youtube.com/watch?v=5tMCiwnQlXM" TargetMode="External"/><Relationship Id="rId782" Type="http://schemas.openxmlformats.org/officeDocument/2006/relationships/hyperlink" Target="https://www.youtube.com/watch?v=JZ7LHVZfMwM" TargetMode="External"/><Relationship Id="rId228" Type="http://schemas.openxmlformats.org/officeDocument/2006/relationships/hyperlink" Target="https://www.youtube.com/embed/8RSu4ymCgp4?start=2204&amp;end=2330&amp;autoplay=1" TargetMode="External"/><Relationship Id="rId435" Type="http://schemas.openxmlformats.org/officeDocument/2006/relationships/hyperlink" Target="https://www.youtube.com/watch?v=m9xF54UZFuY" TargetMode="External"/><Relationship Id="rId642" Type="http://schemas.openxmlformats.org/officeDocument/2006/relationships/hyperlink" Target="https://www.youtube.com/watch?v=-HWLO-7d98U" TargetMode="External"/><Relationship Id="rId281" Type="http://schemas.openxmlformats.org/officeDocument/2006/relationships/hyperlink" Target="https://www.youtube.com/watch?v=SS0UQNsxhus" TargetMode="External"/><Relationship Id="rId502" Type="http://schemas.openxmlformats.org/officeDocument/2006/relationships/hyperlink" Target="https://www.youtube.com/watch?v=oeJfmsvMRBs" TargetMode="External"/><Relationship Id="rId76" Type="http://schemas.openxmlformats.org/officeDocument/2006/relationships/hyperlink" Target="https://www.youtube.com/embed/ycnvyB8pDEM?start=307&amp;end=395&amp;autoplay=1" TargetMode="External"/><Relationship Id="rId141" Type="http://schemas.openxmlformats.org/officeDocument/2006/relationships/hyperlink" Target="https://www.youtube.com/embed/ByaheAphduQ?start=2760&amp;end=2930&amp;autoplay=1" TargetMode="External"/><Relationship Id="rId379" Type="http://schemas.openxmlformats.org/officeDocument/2006/relationships/hyperlink" Target="https://www.youtube.com/watch?v=nEEhdprZ-EE" TargetMode="External"/><Relationship Id="rId586" Type="http://schemas.openxmlformats.org/officeDocument/2006/relationships/hyperlink" Target="https://www.youtube.com/watch?v=5iT09vIaZOU" TargetMode="External"/><Relationship Id="rId793" Type="http://schemas.openxmlformats.org/officeDocument/2006/relationships/hyperlink" Target="https://www.youtube.com/watch?v=-c4KLljIDeo" TargetMode="External"/><Relationship Id="rId807" Type="http://schemas.openxmlformats.org/officeDocument/2006/relationships/hyperlink" Target="https://www.youtube.com/watch?v=1P_XO3xfTCs" TargetMode="External"/><Relationship Id="rId7" Type="http://schemas.openxmlformats.org/officeDocument/2006/relationships/hyperlink" Target="https://www.youtube.com/watch?v=PcNDlU0LyJk" TargetMode="External"/><Relationship Id="rId239" Type="http://schemas.openxmlformats.org/officeDocument/2006/relationships/hyperlink" Target="https://www.youtube.com/embed/8RSu4ymCgp4?start=5136&amp;end=5640&amp;autoplay=1" TargetMode="External"/><Relationship Id="rId446" Type="http://schemas.openxmlformats.org/officeDocument/2006/relationships/hyperlink" Target="https://www.youtube.com/watch?v=JbxzX8kwig4" TargetMode="External"/><Relationship Id="rId653" Type="http://schemas.openxmlformats.org/officeDocument/2006/relationships/hyperlink" Target="https://www.youtube.com/watch?v=9fu_xDvkBMk" TargetMode="External"/><Relationship Id="rId292" Type="http://schemas.openxmlformats.org/officeDocument/2006/relationships/hyperlink" Target="https://www.youtube.com/watch?v=ANSSQQ6ZauM" TargetMode="External"/><Relationship Id="rId306" Type="http://schemas.openxmlformats.org/officeDocument/2006/relationships/hyperlink" Target="https://www.youtube.com/watch?v=R7mzbp-9vbk" TargetMode="External"/><Relationship Id="rId860" Type="http://schemas.openxmlformats.org/officeDocument/2006/relationships/hyperlink" Target="https://www.youtube.com/watch?v=WzgR7yTQNzY" TargetMode="External"/><Relationship Id="rId87" Type="http://schemas.openxmlformats.org/officeDocument/2006/relationships/hyperlink" Target="https://www.youtube.com/watch?v=6_9IYK6ZlyY" TargetMode="External"/><Relationship Id="rId513" Type="http://schemas.openxmlformats.org/officeDocument/2006/relationships/hyperlink" Target="https://www.youtube.com/watch?v=8xbYHg11ROo" TargetMode="External"/><Relationship Id="rId597" Type="http://schemas.openxmlformats.org/officeDocument/2006/relationships/hyperlink" Target="https://www.youtube.com/watch?v=7gTT37SeSUc" TargetMode="External"/><Relationship Id="rId720" Type="http://schemas.openxmlformats.org/officeDocument/2006/relationships/hyperlink" Target="https://www.youtube.com/watch?v=Pe53dUS_mHE" TargetMode="External"/><Relationship Id="rId818" Type="http://schemas.openxmlformats.org/officeDocument/2006/relationships/hyperlink" Target="https://www.youtube.com/watch?v=eQBirhrwc3E" TargetMode="External"/><Relationship Id="rId152" Type="http://schemas.openxmlformats.org/officeDocument/2006/relationships/hyperlink" Target="https://www.youtube.com/embed/s3LVHHEe2vc?start=2635&amp;end=2840&amp;autoplay=1" TargetMode="External"/><Relationship Id="rId457" Type="http://schemas.openxmlformats.org/officeDocument/2006/relationships/hyperlink" Target="https://www.youtube.com/watch?v=p3i_mI87a3E" TargetMode="External"/><Relationship Id="rId664" Type="http://schemas.openxmlformats.org/officeDocument/2006/relationships/hyperlink" Target="https://www.youtube.com/watch?v=qEJJIhs02cI" TargetMode="External"/><Relationship Id="rId871" Type="http://schemas.openxmlformats.org/officeDocument/2006/relationships/hyperlink" Target="https://www.youtube.com/watch?v=uaTb9-4kT2Y" TargetMode="External"/><Relationship Id="rId14" Type="http://schemas.openxmlformats.org/officeDocument/2006/relationships/hyperlink" Target="https://www.youtube.com/watch?v=2UnJMns3fjs" TargetMode="External"/><Relationship Id="rId317" Type="http://schemas.openxmlformats.org/officeDocument/2006/relationships/hyperlink" Target="https://www.youtube.com/watch?v=Um1LJAfSPoo" TargetMode="External"/><Relationship Id="rId524" Type="http://schemas.openxmlformats.org/officeDocument/2006/relationships/hyperlink" Target="https://www.youtube.com/watch?v=Lg0JLlBHCgA" TargetMode="External"/><Relationship Id="rId731" Type="http://schemas.openxmlformats.org/officeDocument/2006/relationships/hyperlink" Target="https://www.youtube.com/watch?v=KYhdz2LiDLA" TargetMode="External"/><Relationship Id="rId98" Type="http://schemas.openxmlformats.org/officeDocument/2006/relationships/hyperlink" Target="https://www.youtube.com/watch?v=FndfcBhZklU" TargetMode="External"/><Relationship Id="rId163" Type="http://schemas.openxmlformats.org/officeDocument/2006/relationships/hyperlink" Target="https://www.youtube.com/watch?v=4yz6ZL-TC94" TargetMode="External"/><Relationship Id="rId370" Type="http://schemas.openxmlformats.org/officeDocument/2006/relationships/hyperlink" Target="https://www.youtube.com/watch?v=y-v-Ijc7W3Y" TargetMode="External"/><Relationship Id="rId829" Type="http://schemas.openxmlformats.org/officeDocument/2006/relationships/hyperlink" Target="https://www.youtube.com/watch?v=D559dD7btfo" TargetMode="External"/><Relationship Id="rId230" Type="http://schemas.openxmlformats.org/officeDocument/2006/relationships/hyperlink" Target="https://www.youtube.com/embed/8RSu4ymCgp4?start=2528&amp;end=2589&amp;autoplay=1" TargetMode="External"/><Relationship Id="rId468" Type="http://schemas.openxmlformats.org/officeDocument/2006/relationships/hyperlink" Target="https://www.youtube.com/watch?v=T-iBVjoTxpY" TargetMode="External"/><Relationship Id="rId675" Type="http://schemas.openxmlformats.org/officeDocument/2006/relationships/hyperlink" Target="https://www.youtube.com/watch?v=wYCmU0vaKvc" TargetMode="External"/><Relationship Id="rId882" Type="http://schemas.openxmlformats.org/officeDocument/2006/relationships/hyperlink" Target="https://www.youtube.com/watch?v=tmCFtpj6IZc" TargetMode="External"/><Relationship Id="rId25" Type="http://schemas.openxmlformats.org/officeDocument/2006/relationships/hyperlink" Target="https://www.youtube.com/embed/_IcfDP-ezpo?start=499&amp;end=620&amp;autoplay=1" TargetMode="External"/><Relationship Id="rId328" Type="http://schemas.openxmlformats.org/officeDocument/2006/relationships/hyperlink" Target="https://www.youtube.com/watch?v=pO9qCeA640E" TargetMode="External"/><Relationship Id="rId535" Type="http://schemas.openxmlformats.org/officeDocument/2006/relationships/hyperlink" Target="https://www.youtube.com/watch?v=wzPkggokfLg" TargetMode="External"/><Relationship Id="rId742" Type="http://schemas.openxmlformats.org/officeDocument/2006/relationships/hyperlink" Target="https://www.youtube.com/watch?v=vTz9mFEgYQU" TargetMode="External"/><Relationship Id="rId174" Type="http://schemas.openxmlformats.org/officeDocument/2006/relationships/hyperlink" Target="https://www.youtube.com/embed/YFmL65VsWdk?start=2087&amp;end=2207&amp;autoplay=1" TargetMode="External"/><Relationship Id="rId381" Type="http://schemas.openxmlformats.org/officeDocument/2006/relationships/hyperlink" Target="https://www.youtube.com/watch?v=YD-IKZbbHeU" TargetMode="External"/><Relationship Id="rId602" Type="http://schemas.openxmlformats.org/officeDocument/2006/relationships/hyperlink" Target="https://www.youtube.com/watch?v=adov37an6hU" TargetMode="External"/><Relationship Id="rId241" Type="http://schemas.openxmlformats.org/officeDocument/2006/relationships/hyperlink" Target="https://www.youtube.com/embed/8RSu4ymCgp4?start=7105&amp;end=7504&amp;autoplay=1" TargetMode="External"/><Relationship Id="rId437" Type="http://schemas.openxmlformats.org/officeDocument/2006/relationships/hyperlink" Target="https://www.youtube.com/watch?v=w5KPpzfrQQY" TargetMode="External"/><Relationship Id="rId479" Type="http://schemas.openxmlformats.org/officeDocument/2006/relationships/hyperlink" Target="https://www.youtube.com/watch?v=olQlPZuEWLY" TargetMode="External"/><Relationship Id="rId644" Type="http://schemas.openxmlformats.org/officeDocument/2006/relationships/hyperlink" Target="https://www.youtube.com/watch?v=pIn71L7Kv9Q" TargetMode="External"/><Relationship Id="rId686" Type="http://schemas.openxmlformats.org/officeDocument/2006/relationships/hyperlink" Target="https://www.youtube.com/watch?v=vOOkxcKaZEo" TargetMode="External"/><Relationship Id="rId851" Type="http://schemas.openxmlformats.org/officeDocument/2006/relationships/hyperlink" Target="https://www.youtube.com/watch?v=qqDl6coS7wg" TargetMode="External"/><Relationship Id="rId893" Type="http://schemas.openxmlformats.org/officeDocument/2006/relationships/hyperlink" Target="https://www.youtube.com/watch?v=lyiuoR-2E6I" TargetMode="External"/><Relationship Id="rId907" Type="http://schemas.openxmlformats.org/officeDocument/2006/relationships/hyperlink" Target="https://www.youtube.com/watch?v=wfQX8QWcWgI" TargetMode="External"/><Relationship Id="rId36" Type="http://schemas.openxmlformats.org/officeDocument/2006/relationships/hyperlink" Target="https://www.youtube.com/embed/5LJPOCxc3E8?start=131&amp;end=353&amp;autoplay=1" TargetMode="External"/><Relationship Id="rId283" Type="http://schemas.openxmlformats.org/officeDocument/2006/relationships/hyperlink" Target="https://www.youtube.com/watch?v=vHGejHQUoio" TargetMode="External"/><Relationship Id="rId339" Type="http://schemas.openxmlformats.org/officeDocument/2006/relationships/hyperlink" Target="https://www.youtube.com/embed/cpZPvFvzNlc?start=3602&amp;end=3700&amp;autoplay=1" TargetMode="External"/><Relationship Id="rId490" Type="http://schemas.openxmlformats.org/officeDocument/2006/relationships/hyperlink" Target="https://www.youtube.com/watch?v=GpEk4HU0r2Y" TargetMode="External"/><Relationship Id="rId504" Type="http://schemas.openxmlformats.org/officeDocument/2006/relationships/hyperlink" Target="https://www.youtube.com/watch?v=Cv8kec-TugY" TargetMode="External"/><Relationship Id="rId546" Type="http://schemas.openxmlformats.org/officeDocument/2006/relationships/hyperlink" Target="https://www.youtube.com/watch?v=Ly_KKukp01g" TargetMode="External"/><Relationship Id="rId711" Type="http://schemas.openxmlformats.org/officeDocument/2006/relationships/hyperlink" Target="https://www.youtube.com/watch?v=N1wkN3CKqHY" TargetMode="External"/><Relationship Id="rId753" Type="http://schemas.openxmlformats.org/officeDocument/2006/relationships/hyperlink" Target="https://www.youtube.com/watch?v=B3K5KRgT0oE" TargetMode="External"/><Relationship Id="rId78" Type="http://schemas.openxmlformats.org/officeDocument/2006/relationships/hyperlink" Target="https://www.youtube.com/embed/ycnvyB8pDEM?start=528&amp;end=675&amp;autoplay=1" TargetMode="External"/><Relationship Id="rId101" Type="http://schemas.openxmlformats.org/officeDocument/2006/relationships/hyperlink" Target="https://www.youtube.com/embed/20u8yHim1tM?start=0&amp;end=222&amp;autoplay=1" TargetMode="External"/><Relationship Id="rId143" Type="http://schemas.openxmlformats.org/officeDocument/2006/relationships/hyperlink" Target="https://www.youtube.com/watch?v=sc4OOSLMiQQ" TargetMode="External"/><Relationship Id="rId185" Type="http://schemas.openxmlformats.org/officeDocument/2006/relationships/hyperlink" Target="https://www.youtube.com/watch?v=3pxgnl2fHZg" TargetMode="External"/><Relationship Id="rId350" Type="http://schemas.openxmlformats.org/officeDocument/2006/relationships/hyperlink" Target="https://www.youtube.com/watch?v=0-LZkVdXTnc" TargetMode="External"/><Relationship Id="rId406" Type="http://schemas.openxmlformats.org/officeDocument/2006/relationships/hyperlink" Target="https://www.youtube.com/watch?v=TbQkh6axHEM" TargetMode="External"/><Relationship Id="rId588" Type="http://schemas.openxmlformats.org/officeDocument/2006/relationships/hyperlink" Target="https://www.youtube.com/watch?v=wXoImJcJYxQ" TargetMode="External"/><Relationship Id="rId795" Type="http://schemas.openxmlformats.org/officeDocument/2006/relationships/hyperlink" Target="https://www.youtube.com/watch?v=GP0JLpTLOWU" TargetMode="External"/><Relationship Id="rId809" Type="http://schemas.openxmlformats.org/officeDocument/2006/relationships/hyperlink" Target="https://www.youtube.com/watch?v=F2WG7neA31s" TargetMode="External"/><Relationship Id="rId9" Type="http://schemas.openxmlformats.org/officeDocument/2006/relationships/hyperlink" Target="https://www.youtube.com/embed/mjFek0gF97s?start=175&amp;end=349&amp;autoplay=1" TargetMode="External"/><Relationship Id="rId210" Type="http://schemas.openxmlformats.org/officeDocument/2006/relationships/hyperlink" Target="https://www.youtube.com/embed/fjD9BVlmPoA?start=4510&amp;end=4640&amp;autoplay=1" TargetMode="External"/><Relationship Id="rId392" Type="http://schemas.openxmlformats.org/officeDocument/2006/relationships/hyperlink" Target="https://www.youtube.com/watch?v=xGvABG6vfLg" TargetMode="External"/><Relationship Id="rId448" Type="http://schemas.openxmlformats.org/officeDocument/2006/relationships/hyperlink" Target="https://www.youtube.com/watch?v=0-Ishanuvj8" TargetMode="External"/><Relationship Id="rId613" Type="http://schemas.openxmlformats.org/officeDocument/2006/relationships/hyperlink" Target="https://www.youtube.com/watch?v=t5tjD9qq-98" TargetMode="External"/><Relationship Id="rId655" Type="http://schemas.openxmlformats.org/officeDocument/2006/relationships/hyperlink" Target="https://www.youtube.com/watch?v=C-AklzjB96w" TargetMode="External"/><Relationship Id="rId697" Type="http://schemas.openxmlformats.org/officeDocument/2006/relationships/hyperlink" Target="https://www.youtube.com/watch?v=bMOOUhzJreA" TargetMode="External"/><Relationship Id="rId820" Type="http://schemas.openxmlformats.org/officeDocument/2006/relationships/hyperlink" Target="https://www.youtube.com/watch?v=JjtvU2xQpaQ" TargetMode="External"/><Relationship Id="rId862" Type="http://schemas.openxmlformats.org/officeDocument/2006/relationships/hyperlink" Target="https://www.youtube.com/watch?v=MC9pK4dCHAs" TargetMode="External"/><Relationship Id="rId918" Type="http://schemas.openxmlformats.org/officeDocument/2006/relationships/hyperlink" Target="https://www.youtube.com/watch?v=79r5KYH0nBI" TargetMode="External"/><Relationship Id="rId252" Type="http://schemas.openxmlformats.org/officeDocument/2006/relationships/hyperlink" Target="https://www.youtube.com/embed/Vf5BOYF0S3Y?start=2675&amp;end=2870&amp;autoplay=1" TargetMode="External"/><Relationship Id="rId294" Type="http://schemas.openxmlformats.org/officeDocument/2006/relationships/hyperlink" Target="https://www.youtube.com/watch?v=k54XQ5I1Nzo" TargetMode="External"/><Relationship Id="rId308" Type="http://schemas.openxmlformats.org/officeDocument/2006/relationships/hyperlink" Target="https://www.youtube.com/watch?v=5bAuJCTjg8s" TargetMode="External"/><Relationship Id="rId515" Type="http://schemas.openxmlformats.org/officeDocument/2006/relationships/hyperlink" Target="https://www.youtube.com/watch?v=JkoZriLo3fA" TargetMode="External"/><Relationship Id="rId722" Type="http://schemas.openxmlformats.org/officeDocument/2006/relationships/hyperlink" Target="https://www.youtube.com/watch?v=NaCx35vC5wg" TargetMode="External"/><Relationship Id="rId47" Type="http://schemas.openxmlformats.org/officeDocument/2006/relationships/hyperlink" Target="https://www.youtube.com/embed/RdBz1kIwrqo?start=266&amp;end=401&amp;autoplay=1" TargetMode="External"/><Relationship Id="rId89" Type="http://schemas.openxmlformats.org/officeDocument/2006/relationships/hyperlink" Target="https://www.youtube.com/embed/6_9IYK6ZlyY?start=189&amp;end=315&amp;autoplay=1" TargetMode="External"/><Relationship Id="rId112" Type="http://schemas.openxmlformats.org/officeDocument/2006/relationships/hyperlink" Target="https://www.youtube.com/embed/8qjQH_-WzyE?start=621&amp;end=814&amp;autoplay=1" TargetMode="External"/><Relationship Id="rId154" Type="http://schemas.openxmlformats.org/officeDocument/2006/relationships/hyperlink" Target="https://www.youtube.com/watch?v=ytrFjytVgtk" TargetMode="External"/><Relationship Id="rId361" Type="http://schemas.openxmlformats.org/officeDocument/2006/relationships/hyperlink" Target="https://www.youtube.com/watch?v=F95dqGlnggo" TargetMode="External"/><Relationship Id="rId557" Type="http://schemas.openxmlformats.org/officeDocument/2006/relationships/hyperlink" Target="https://www.youtube.com/watch?v=cUULt5zHp0k" TargetMode="External"/><Relationship Id="rId599" Type="http://schemas.openxmlformats.org/officeDocument/2006/relationships/hyperlink" Target="https://www.youtube.com/watch?v=qYA9DVNkOCA" TargetMode="External"/><Relationship Id="rId764" Type="http://schemas.openxmlformats.org/officeDocument/2006/relationships/hyperlink" Target="https://www.youtube.com/watch?v=sLe31yV0Fb4" TargetMode="External"/><Relationship Id="rId196" Type="http://schemas.openxmlformats.org/officeDocument/2006/relationships/hyperlink" Target="https://www.youtube.com/embed/G3NpQQMh8jQ?start=343&amp;end=903&amp;autoplay=1" TargetMode="External"/><Relationship Id="rId417" Type="http://schemas.openxmlformats.org/officeDocument/2006/relationships/hyperlink" Target="https://www.youtube.com/watch?v=_Anq0CTYGt8" TargetMode="External"/><Relationship Id="rId459" Type="http://schemas.openxmlformats.org/officeDocument/2006/relationships/hyperlink" Target="https://www.youtube.com/watch?v=kaJQx-nXg6M" TargetMode="External"/><Relationship Id="rId624" Type="http://schemas.openxmlformats.org/officeDocument/2006/relationships/hyperlink" Target="https://www.youtube.com/watch?v=ZwiLQGKP--A" TargetMode="External"/><Relationship Id="rId666" Type="http://schemas.openxmlformats.org/officeDocument/2006/relationships/hyperlink" Target="https://www.youtube.com/watch?v=REfOblHmn6Q" TargetMode="External"/><Relationship Id="rId831" Type="http://schemas.openxmlformats.org/officeDocument/2006/relationships/hyperlink" Target="https://www.youtube.com/watch?v=kvEIBfEnwXM" TargetMode="External"/><Relationship Id="rId873" Type="http://schemas.openxmlformats.org/officeDocument/2006/relationships/hyperlink" Target="https://www.youtube.com/watch?v=sI2xSENomQY" TargetMode="External"/><Relationship Id="rId16" Type="http://schemas.openxmlformats.org/officeDocument/2006/relationships/hyperlink" Target="https://www.youtube.com/watch?v=Smd_3o5vtLo" TargetMode="External"/><Relationship Id="rId221" Type="http://schemas.openxmlformats.org/officeDocument/2006/relationships/hyperlink" Target="https://www.youtube.com/watch?v=NPNImjeRrF8" TargetMode="External"/><Relationship Id="rId263" Type="http://schemas.openxmlformats.org/officeDocument/2006/relationships/hyperlink" Target="https://www.youtube.com/watch?v=61LvuBJ6Ojs" TargetMode="External"/><Relationship Id="rId319" Type="http://schemas.openxmlformats.org/officeDocument/2006/relationships/hyperlink" Target="https://www.youtube.com/watch?v=Z7B5IZZhoAI" TargetMode="External"/><Relationship Id="rId470" Type="http://schemas.openxmlformats.org/officeDocument/2006/relationships/hyperlink" Target="https://www.youtube.com/watch?v=9eSzra79z-I" TargetMode="External"/><Relationship Id="rId526" Type="http://schemas.openxmlformats.org/officeDocument/2006/relationships/hyperlink" Target="https://www.youtube.com/watch?v=xA9TKhOjY24" TargetMode="External"/><Relationship Id="rId929" Type="http://schemas.openxmlformats.org/officeDocument/2006/relationships/hyperlink" Target="https://www.youtube.com/embed/79r5KYH0nBI?start=2515&amp;end=2698&amp;autoplay=1" TargetMode="External"/><Relationship Id="rId58" Type="http://schemas.openxmlformats.org/officeDocument/2006/relationships/hyperlink" Target="https://www.youtube.com/embed/C3_6Ub1GnfA?start=431&amp;end=520&amp;autoplay=1" TargetMode="External"/><Relationship Id="rId123" Type="http://schemas.openxmlformats.org/officeDocument/2006/relationships/hyperlink" Target="https://www.youtube.com/watch?v=m3jwqSSyVkg" TargetMode="External"/><Relationship Id="rId330" Type="http://schemas.openxmlformats.org/officeDocument/2006/relationships/hyperlink" Target="https://www.youtube.com/watch?v=MBzty84VgRo" TargetMode="External"/><Relationship Id="rId568" Type="http://schemas.openxmlformats.org/officeDocument/2006/relationships/hyperlink" Target="https://www.youtube.com/watch?v=P1Eurn7tEJM" TargetMode="External"/><Relationship Id="rId733" Type="http://schemas.openxmlformats.org/officeDocument/2006/relationships/hyperlink" Target="https://www.youtube.com/watch?v=bGDeGR7DrFw" TargetMode="External"/><Relationship Id="rId775" Type="http://schemas.openxmlformats.org/officeDocument/2006/relationships/hyperlink" Target="https://www.youtube.com/watch?v=uiJHx80DJcw" TargetMode="External"/><Relationship Id="rId165" Type="http://schemas.openxmlformats.org/officeDocument/2006/relationships/hyperlink" Target="https://www.youtube.com/embed/YFmL65VsWdk?start=380&amp;end=410&amp;autoplay=1" TargetMode="External"/><Relationship Id="rId372" Type="http://schemas.openxmlformats.org/officeDocument/2006/relationships/hyperlink" Target="https://www.youtube.com/watch?v=F-ZzB9uBQNs" TargetMode="External"/><Relationship Id="rId428" Type="http://schemas.openxmlformats.org/officeDocument/2006/relationships/hyperlink" Target="https://www.youtube.com/watch?v=yYhGJH2NjBA" TargetMode="External"/><Relationship Id="rId635" Type="http://schemas.openxmlformats.org/officeDocument/2006/relationships/hyperlink" Target="https://www.youtube.com/watch?v=AB0KeX_0T2I" TargetMode="External"/><Relationship Id="rId677" Type="http://schemas.openxmlformats.org/officeDocument/2006/relationships/hyperlink" Target="https://www.youtube.com/watch?v=6ufhk6JL8x8" TargetMode="External"/><Relationship Id="rId800" Type="http://schemas.openxmlformats.org/officeDocument/2006/relationships/hyperlink" Target="https://www.youtube.com/watch?v=Iz3TO-dXkSI" TargetMode="External"/><Relationship Id="rId842" Type="http://schemas.openxmlformats.org/officeDocument/2006/relationships/hyperlink" Target="https://www.youtube.com/watch?v=_CKZQa18hcY" TargetMode="External"/><Relationship Id="rId232" Type="http://schemas.openxmlformats.org/officeDocument/2006/relationships/hyperlink" Target="https://www.youtube.com/embed/8RSu4ymCgp4?start=2780&amp;end=3220&amp;autoplay=1" TargetMode="External"/><Relationship Id="rId274" Type="http://schemas.openxmlformats.org/officeDocument/2006/relationships/hyperlink" Target="https://www.youtube.com/watch?v=67Y76FPHZ-g" TargetMode="External"/><Relationship Id="rId481" Type="http://schemas.openxmlformats.org/officeDocument/2006/relationships/hyperlink" Target="https://www.youtube.com/watch?v=XcIm7eWfJ_M" TargetMode="External"/><Relationship Id="rId702" Type="http://schemas.openxmlformats.org/officeDocument/2006/relationships/hyperlink" Target="https://www.youtube.com/watch?v=w1panKQ58dU" TargetMode="External"/><Relationship Id="rId884" Type="http://schemas.openxmlformats.org/officeDocument/2006/relationships/hyperlink" Target="https://www.youtube.com/watch?v=rP79c8rd-jE" TargetMode="External"/><Relationship Id="rId27" Type="http://schemas.openxmlformats.org/officeDocument/2006/relationships/hyperlink" Target="https://www.youtube.com/watch?v=Uq2PJjcHiqI" TargetMode="External"/><Relationship Id="rId69" Type="http://schemas.openxmlformats.org/officeDocument/2006/relationships/hyperlink" Target="https://www.youtube.com/embed/lzMEDrUFlpw?start=368&amp;end=542&amp;autoplay=1" TargetMode="External"/><Relationship Id="rId134" Type="http://schemas.openxmlformats.org/officeDocument/2006/relationships/hyperlink" Target="https://www.youtube.com/embed/ByaheAphduQ?start=1450&amp;end=1620&amp;autoplay=1" TargetMode="External"/><Relationship Id="rId537" Type="http://schemas.openxmlformats.org/officeDocument/2006/relationships/hyperlink" Target="https://www.youtube.com/watch?v=0DBc4TKwgDc" TargetMode="External"/><Relationship Id="rId579" Type="http://schemas.openxmlformats.org/officeDocument/2006/relationships/hyperlink" Target="https://www.youtube.com/watch?v=5c75GXSIdlM" TargetMode="External"/><Relationship Id="rId744" Type="http://schemas.openxmlformats.org/officeDocument/2006/relationships/hyperlink" Target="https://www.youtube.com/watch?v=nUfn2eRsHgo" TargetMode="External"/><Relationship Id="rId786" Type="http://schemas.openxmlformats.org/officeDocument/2006/relationships/hyperlink" Target="https://www.youtube.com/watch?v=6M1Mp5tvk-E" TargetMode="External"/><Relationship Id="rId80" Type="http://schemas.openxmlformats.org/officeDocument/2006/relationships/hyperlink" Target="https://www.youtube.com/embed/xANxZaCCD70?start=0&amp;end=318&amp;autoplay=1" TargetMode="External"/><Relationship Id="rId176" Type="http://schemas.openxmlformats.org/officeDocument/2006/relationships/hyperlink" Target="https://www.youtube.com/watch?v=29-xoooHPaw" TargetMode="External"/><Relationship Id="rId341" Type="http://schemas.openxmlformats.org/officeDocument/2006/relationships/hyperlink" Target="https://www.youtube.com/watch?v=nCmJgIvSqfU" TargetMode="External"/><Relationship Id="rId383" Type="http://schemas.openxmlformats.org/officeDocument/2006/relationships/hyperlink" Target="https://www.youtube.com/watch?v=cshbkDak_p0" TargetMode="External"/><Relationship Id="rId439" Type="http://schemas.openxmlformats.org/officeDocument/2006/relationships/hyperlink" Target="https://www.youtube.com/watch?v=1GLaXQ6Rgcg" TargetMode="External"/><Relationship Id="rId590" Type="http://schemas.openxmlformats.org/officeDocument/2006/relationships/hyperlink" Target="https://www.youtube.com/watch?v=bFIqLn3c85c" TargetMode="External"/><Relationship Id="rId604" Type="http://schemas.openxmlformats.org/officeDocument/2006/relationships/hyperlink" Target="https://www.youtube.com/watch?v=a_HGSrmF_8w" TargetMode="External"/><Relationship Id="rId646" Type="http://schemas.openxmlformats.org/officeDocument/2006/relationships/hyperlink" Target="https://www.youtube.com/watch?v=ZhuUYD3QvB8" TargetMode="External"/><Relationship Id="rId811" Type="http://schemas.openxmlformats.org/officeDocument/2006/relationships/hyperlink" Target="https://www.youtube.com/watch?v=mcxquOK_mY8" TargetMode="External"/><Relationship Id="rId201" Type="http://schemas.openxmlformats.org/officeDocument/2006/relationships/hyperlink" Target="https://www.youtube.com/watch?v=VP5gPVW3XDM" TargetMode="External"/><Relationship Id="rId243" Type="http://schemas.openxmlformats.org/officeDocument/2006/relationships/hyperlink" Target="https://www.youtube.com/watch?v=k_PhmmAyLFg" TargetMode="External"/><Relationship Id="rId285" Type="http://schemas.openxmlformats.org/officeDocument/2006/relationships/hyperlink" Target="https://www.youtube.com/watch?v=kQP4pUPNjqs" TargetMode="External"/><Relationship Id="rId450" Type="http://schemas.openxmlformats.org/officeDocument/2006/relationships/hyperlink" Target="https://www.youtube.com/watch?v=NQUbNykwFG4" TargetMode="External"/><Relationship Id="rId506" Type="http://schemas.openxmlformats.org/officeDocument/2006/relationships/hyperlink" Target="https://www.youtube.com/watch?v=spEEA-o1zlE" TargetMode="External"/><Relationship Id="rId688" Type="http://schemas.openxmlformats.org/officeDocument/2006/relationships/hyperlink" Target="https://www.youtube.com/watch?v=iZ6Xk9YCaaY" TargetMode="External"/><Relationship Id="rId853" Type="http://schemas.openxmlformats.org/officeDocument/2006/relationships/hyperlink" Target="https://www.youtube.com/watch?v=gtJ9OzJIB_c" TargetMode="External"/><Relationship Id="rId895" Type="http://schemas.openxmlformats.org/officeDocument/2006/relationships/hyperlink" Target="https://www.youtube.com/watch?v=8gCMYZ-alVw" TargetMode="External"/><Relationship Id="rId909" Type="http://schemas.openxmlformats.org/officeDocument/2006/relationships/hyperlink" Target="https://www.youtube.com/watch?v=Bx9ffGtMMxo" TargetMode="External"/><Relationship Id="rId38" Type="http://schemas.openxmlformats.org/officeDocument/2006/relationships/hyperlink" Target="https://www.youtube.com/watch?v=LdrmgXtd_rs" TargetMode="External"/><Relationship Id="rId103" Type="http://schemas.openxmlformats.org/officeDocument/2006/relationships/hyperlink" Target="https://www.youtube.com/watch?v=QEUeYDEFtsE" TargetMode="External"/><Relationship Id="rId310" Type="http://schemas.openxmlformats.org/officeDocument/2006/relationships/hyperlink" Target="https://www.youtube.com/watch?v=4h6drLmYTr8" TargetMode="External"/><Relationship Id="rId492" Type="http://schemas.openxmlformats.org/officeDocument/2006/relationships/hyperlink" Target="https://www.youtube.com/watch?v=liKAbE7beNI" TargetMode="External"/><Relationship Id="rId548" Type="http://schemas.openxmlformats.org/officeDocument/2006/relationships/hyperlink" Target="https://www.youtube.com/watch?v=xjoBDX3u1Ys" TargetMode="External"/><Relationship Id="rId713" Type="http://schemas.openxmlformats.org/officeDocument/2006/relationships/hyperlink" Target="https://www.youtube.com/watch?v=eVhJjqlSE8s" TargetMode="External"/><Relationship Id="rId755" Type="http://schemas.openxmlformats.org/officeDocument/2006/relationships/hyperlink" Target="https://www.youtube.com/watch?v=SmB_GUlrfzk" TargetMode="External"/><Relationship Id="rId797" Type="http://schemas.openxmlformats.org/officeDocument/2006/relationships/hyperlink" Target="https://www.youtube.com/watch?v=ImpfhngYCCA" TargetMode="External"/><Relationship Id="rId920" Type="http://schemas.openxmlformats.org/officeDocument/2006/relationships/hyperlink" Target="https://www.youtube.com/embed/79r5KYH0nBI?start=248&amp;end=400&amp;autoplay=1" TargetMode="External"/><Relationship Id="rId91" Type="http://schemas.openxmlformats.org/officeDocument/2006/relationships/hyperlink" Target="https://www.youtube.com/embed/6_9IYK6ZlyY?start=477&amp;end=764&amp;autoplay=1" TargetMode="External"/><Relationship Id="rId145" Type="http://schemas.openxmlformats.org/officeDocument/2006/relationships/hyperlink" Target="https://www.youtube.com/watch?v=s3LVHHEe2vc" TargetMode="External"/><Relationship Id="rId187" Type="http://schemas.openxmlformats.org/officeDocument/2006/relationships/hyperlink" Target="https://www.youtube.com/watch?v=z1wT-GurohQ" TargetMode="External"/><Relationship Id="rId352" Type="http://schemas.openxmlformats.org/officeDocument/2006/relationships/hyperlink" Target="https://www.youtube.com/watch?v=pAHRrR6eeDU" TargetMode="External"/><Relationship Id="rId394" Type="http://schemas.openxmlformats.org/officeDocument/2006/relationships/hyperlink" Target="https://www.youtube.com/watch?v=-rJtFWVJpjA" TargetMode="External"/><Relationship Id="rId408" Type="http://schemas.openxmlformats.org/officeDocument/2006/relationships/hyperlink" Target="https://www.youtube.com/watch?v=jaw4U_s24zo" TargetMode="External"/><Relationship Id="rId615" Type="http://schemas.openxmlformats.org/officeDocument/2006/relationships/hyperlink" Target="https://www.youtube.com/watch?v=tpUBWJjtzrA" TargetMode="External"/><Relationship Id="rId822" Type="http://schemas.openxmlformats.org/officeDocument/2006/relationships/hyperlink" Target="https://www.youtube.com/watch?v=strZVEaixcs" TargetMode="External"/><Relationship Id="rId212" Type="http://schemas.openxmlformats.org/officeDocument/2006/relationships/hyperlink" Target="https://www.youtube.com/embed/fjD9BVlmPoA?start=4885&amp;end=4930&amp;autoplay=1" TargetMode="External"/><Relationship Id="rId254" Type="http://schemas.openxmlformats.org/officeDocument/2006/relationships/hyperlink" Target="https://www.youtube.com/embed/Vf5BOYF0S3Y?start=3600&amp;end=3810&amp;autoplay=1" TargetMode="External"/><Relationship Id="rId657" Type="http://schemas.openxmlformats.org/officeDocument/2006/relationships/hyperlink" Target="https://www.youtube.com/watch?v=5XqO9FCH3Xk" TargetMode="External"/><Relationship Id="rId699" Type="http://schemas.openxmlformats.org/officeDocument/2006/relationships/hyperlink" Target="https://www.youtube.com/watch?v=0W0XxcsCH_0" TargetMode="External"/><Relationship Id="rId864" Type="http://schemas.openxmlformats.org/officeDocument/2006/relationships/hyperlink" Target="https://www.youtube.com/watch?v=lQph5joRdU8" TargetMode="External"/><Relationship Id="rId49" Type="http://schemas.openxmlformats.org/officeDocument/2006/relationships/hyperlink" Target="https://www.youtube.com/watch?v=WsjxXfklatk" TargetMode="External"/><Relationship Id="rId114" Type="http://schemas.openxmlformats.org/officeDocument/2006/relationships/hyperlink" Target="https://www.youtube.com/embed/vHWsmGyjOk0?start=0&amp;end=405&amp;autoplay=1" TargetMode="External"/><Relationship Id="rId296" Type="http://schemas.openxmlformats.org/officeDocument/2006/relationships/hyperlink" Target="https://www.youtube.com/watch?v=q1K9wPDzMjU" TargetMode="External"/><Relationship Id="rId461" Type="http://schemas.openxmlformats.org/officeDocument/2006/relationships/hyperlink" Target="https://www.youtube.com/watch?v=OHn7cvWw5gE" TargetMode="External"/><Relationship Id="rId517" Type="http://schemas.openxmlformats.org/officeDocument/2006/relationships/hyperlink" Target="https://www.youtube.com/watch?v=wKE7d6nLsDM" TargetMode="External"/><Relationship Id="rId559" Type="http://schemas.openxmlformats.org/officeDocument/2006/relationships/hyperlink" Target="https://www.youtube.com/watch?v=C3knBzrgTTY" TargetMode="External"/><Relationship Id="rId724" Type="http://schemas.openxmlformats.org/officeDocument/2006/relationships/hyperlink" Target="https://www.youtube.com/watch?v=4VaCcFKHkSY" TargetMode="External"/><Relationship Id="rId766" Type="http://schemas.openxmlformats.org/officeDocument/2006/relationships/hyperlink" Target="https://www.youtube.com/watch?v=EKyX0QsZVJc" TargetMode="External"/><Relationship Id="rId931" Type="http://schemas.openxmlformats.org/officeDocument/2006/relationships/drawing" Target="../drawings/drawing1.xml"/><Relationship Id="rId60" Type="http://schemas.openxmlformats.org/officeDocument/2006/relationships/hyperlink" Target="https://www.youtube.com/embed/C3_6Ub1GnfA?start=589&amp;end=663&amp;autoplay=1" TargetMode="External"/><Relationship Id="rId156" Type="http://schemas.openxmlformats.org/officeDocument/2006/relationships/hyperlink" Target="https://www.youtube.com/watch?v=mhHQNrL_bkM" TargetMode="External"/><Relationship Id="rId198" Type="http://schemas.openxmlformats.org/officeDocument/2006/relationships/hyperlink" Target="https://www.youtube.com/embed/G3NpQQMh8jQ?start=1171&amp;end=1373&amp;autoplay=1" TargetMode="External"/><Relationship Id="rId321" Type="http://schemas.openxmlformats.org/officeDocument/2006/relationships/hyperlink" Target="https://www.youtube.com/watch?v=fQxUVyFqzpA" TargetMode="External"/><Relationship Id="rId363" Type="http://schemas.openxmlformats.org/officeDocument/2006/relationships/hyperlink" Target="https://www.youtube.com/watch?v=5YuNKvTZtdM" TargetMode="External"/><Relationship Id="rId419" Type="http://schemas.openxmlformats.org/officeDocument/2006/relationships/hyperlink" Target="https://www.youtube.com/watch?v=qGie_-i1j6o" TargetMode="External"/><Relationship Id="rId570" Type="http://schemas.openxmlformats.org/officeDocument/2006/relationships/hyperlink" Target="https://www.youtube.com/watch?v=5P0vjP1Hdvs" TargetMode="External"/><Relationship Id="rId626" Type="http://schemas.openxmlformats.org/officeDocument/2006/relationships/hyperlink" Target="https://www.youtube.com/watch?v=ohUG8LIy7Cs" TargetMode="External"/><Relationship Id="rId223" Type="http://schemas.openxmlformats.org/officeDocument/2006/relationships/hyperlink" Target="https://www.youtube.com/embed/8RSu4ymCgp4?start=25&amp;end=266&amp;autoplay=1" TargetMode="External"/><Relationship Id="rId430" Type="http://schemas.openxmlformats.org/officeDocument/2006/relationships/hyperlink" Target="https://www.youtube.com/watch?v=k6dsew1B6SE" TargetMode="External"/><Relationship Id="rId668" Type="http://schemas.openxmlformats.org/officeDocument/2006/relationships/hyperlink" Target="https://www.youtube.com/watch?v=xl6nyKVDNCQ" TargetMode="External"/><Relationship Id="rId833" Type="http://schemas.openxmlformats.org/officeDocument/2006/relationships/hyperlink" Target="https://www.youtube.com/watch?v=vB9JqlUiYUk" TargetMode="External"/><Relationship Id="rId875" Type="http://schemas.openxmlformats.org/officeDocument/2006/relationships/hyperlink" Target="https://www.youtube.com/watch?v=inDcB8LwlqI" TargetMode="External"/><Relationship Id="rId18" Type="http://schemas.openxmlformats.org/officeDocument/2006/relationships/hyperlink" Target="https://www.youtube.com/watch?v=NCOKqHoIW7M" TargetMode="External"/><Relationship Id="rId265" Type="http://schemas.openxmlformats.org/officeDocument/2006/relationships/hyperlink" Target="https://www.youtube.com/watch?v=myZqody8PTw" TargetMode="External"/><Relationship Id="rId472" Type="http://schemas.openxmlformats.org/officeDocument/2006/relationships/hyperlink" Target="https://www.youtube.com/watch?v=zm-fPGwlflY" TargetMode="External"/><Relationship Id="rId528" Type="http://schemas.openxmlformats.org/officeDocument/2006/relationships/hyperlink" Target="https://www.youtube.com/watch?v=qY5oQOirve4" TargetMode="External"/><Relationship Id="rId735" Type="http://schemas.openxmlformats.org/officeDocument/2006/relationships/hyperlink" Target="https://www.youtube.com/watch?v=Kfvmj7QyAfQ" TargetMode="External"/><Relationship Id="rId900" Type="http://schemas.openxmlformats.org/officeDocument/2006/relationships/hyperlink" Target="https://www.youtube.com/watch?v=ZyApm_PJ-W8&amp;t=65s" TargetMode="External"/><Relationship Id="rId125" Type="http://schemas.openxmlformats.org/officeDocument/2006/relationships/hyperlink" Target="https://www.youtube.com/watch?v=JXjMYvGqqDE" TargetMode="External"/><Relationship Id="rId167" Type="http://schemas.openxmlformats.org/officeDocument/2006/relationships/hyperlink" Target="https://www.youtube.com/embed/YFmL65VsWdk?start=614&amp;end=800&amp;autoplay=1" TargetMode="External"/><Relationship Id="rId332" Type="http://schemas.openxmlformats.org/officeDocument/2006/relationships/hyperlink" Target="https://www.youtube.com/embed/cpZPvFvzNlc?start=0&amp;end=0&amp;autoplay=1" TargetMode="External"/><Relationship Id="rId374" Type="http://schemas.openxmlformats.org/officeDocument/2006/relationships/hyperlink" Target="https://www.youtube.com/watch?v=8ZJ9Ubv74Fc" TargetMode="External"/><Relationship Id="rId581" Type="http://schemas.openxmlformats.org/officeDocument/2006/relationships/hyperlink" Target="https://www.youtube.com/watch?v=rbrxzObExNc" TargetMode="External"/><Relationship Id="rId777" Type="http://schemas.openxmlformats.org/officeDocument/2006/relationships/hyperlink" Target="https://www.youtube.com/watch?v=Y5sHrOViVq0" TargetMode="External"/><Relationship Id="rId71" Type="http://schemas.openxmlformats.org/officeDocument/2006/relationships/hyperlink" Target="https://www.youtube.com/watch?v=qCG2vqnaUx4" TargetMode="External"/><Relationship Id="rId234" Type="http://schemas.openxmlformats.org/officeDocument/2006/relationships/hyperlink" Target="https://www.youtube.com/embed/8RSu4ymCgp4?start=3397&amp;end=3570&amp;autoplay=1" TargetMode="External"/><Relationship Id="rId637" Type="http://schemas.openxmlformats.org/officeDocument/2006/relationships/hyperlink" Target="https://www.youtube.com/watch?v=Hqx5Pfe-4NI" TargetMode="External"/><Relationship Id="rId679" Type="http://schemas.openxmlformats.org/officeDocument/2006/relationships/hyperlink" Target="https://www.youtube.com/watch?v=D7yIybTWmmU" TargetMode="External"/><Relationship Id="rId802" Type="http://schemas.openxmlformats.org/officeDocument/2006/relationships/hyperlink" Target="https://www.youtube.com/watch?v=0cvq3rbQ7Dw" TargetMode="External"/><Relationship Id="rId844" Type="http://schemas.openxmlformats.org/officeDocument/2006/relationships/hyperlink" Target="https://www.youtube.com/watch?v=lkO1JaN7BoQ" TargetMode="External"/><Relationship Id="rId886" Type="http://schemas.openxmlformats.org/officeDocument/2006/relationships/hyperlink" Target="https://www.youtube.com/watch?v=OmWUkxANoEk" TargetMode="External"/><Relationship Id="rId2" Type="http://schemas.openxmlformats.org/officeDocument/2006/relationships/hyperlink" Target="https://www.youtube.com/watch?v=jKuCWHsoXmQ" TargetMode="External"/><Relationship Id="rId29" Type="http://schemas.openxmlformats.org/officeDocument/2006/relationships/hyperlink" Target="https://www.youtube.com/embed/Uq2PJjcHiqI?start=102&amp;end=268&amp;autoplay=1" TargetMode="External"/><Relationship Id="rId276" Type="http://schemas.openxmlformats.org/officeDocument/2006/relationships/hyperlink" Target="https://www.youtube.com/watch?v=BF7tCmPOjs4" TargetMode="External"/><Relationship Id="rId441" Type="http://schemas.openxmlformats.org/officeDocument/2006/relationships/hyperlink" Target="https://www.youtube.com/watch?v=EHQ6eLHDs78" TargetMode="External"/><Relationship Id="rId483" Type="http://schemas.openxmlformats.org/officeDocument/2006/relationships/hyperlink" Target="https://www.youtube.com/watch?v=RaNpNJVvWDI" TargetMode="External"/><Relationship Id="rId539" Type="http://schemas.openxmlformats.org/officeDocument/2006/relationships/hyperlink" Target="https://www.youtube.com/watch?v=FQmwAFcJSpw" TargetMode="External"/><Relationship Id="rId690" Type="http://schemas.openxmlformats.org/officeDocument/2006/relationships/hyperlink" Target="https://www.youtube.com/watch?v=Q7TqlnXF3cA" TargetMode="External"/><Relationship Id="rId704" Type="http://schemas.openxmlformats.org/officeDocument/2006/relationships/hyperlink" Target="https://www.youtube.com/watch?v=mxQpJeckKaU" TargetMode="External"/><Relationship Id="rId746" Type="http://schemas.openxmlformats.org/officeDocument/2006/relationships/hyperlink" Target="https://www.youtube.com/watch?v=Nattb-ZPK4g" TargetMode="External"/><Relationship Id="rId911" Type="http://schemas.openxmlformats.org/officeDocument/2006/relationships/hyperlink" Target="https://www.youtube.com/watch?v=dHQ-HMVdPyE" TargetMode="External"/><Relationship Id="rId40" Type="http://schemas.openxmlformats.org/officeDocument/2006/relationships/hyperlink" Target="https://www.youtube.com/embed/LdrmgXtd_rs?start=223&amp;end=472&amp;autoplay=1" TargetMode="External"/><Relationship Id="rId136" Type="http://schemas.openxmlformats.org/officeDocument/2006/relationships/hyperlink" Target="https://www.youtube.com/embed/ByaheAphduQ?start=1825&amp;end=1875&amp;autoplay=1" TargetMode="External"/><Relationship Id="rId178" Type="http://schemas.openxmlformats.org/officeDocument/2006/relationships/hyperlink" Target="https://www.youtube.com/watch?v=FNqQxPkLmPI" TargetMode="External"/><Relationship Id="rId301" Type="http://schemas.openxmlformats.org/officeDocument/2006/relationships/hyperlink" Target="https://www.youtube.com/watch?v=T0iutxik1Eg" TargetMode="External"/><Relationship Id="rId343" Type="http://schemas.openxmlformats.org/officeDocument/2006/relationships/hyperlink" Target="https://www.youtube.com/watch?v=r5r1yU9O2ag" TargetMode="External"/><Relationship Id="rId550" Type="http://schemas.openxmlformats.org/officeDocument/2006/relationships/hyperlink" Target="https://www.youtube.com/watch?v=gL_j5YKKN38" TargetMode="External"/><Relationship Id="rId788" Type="http://schemas.openxmlformats.org/officeDocument/2006/relationships/hyperlink" Target="https://www.youtube.com/watch?v=13shkRG4RMc" TargetMode="External"/><Relationship Id="rId82" Type="http://schemas.openxmlformats.org/officeDocument/2006/relationships/hyperlink" Target="https://www.youtube.com/embed/xANxZaCCD70?start=440&amp;end=824&amp;autoplay=1" TargetMode="External"/><Relationship Id="rId203" Type="http://schemas.openxmlformats.org/officeDocument/2006/relationships/hyperlink" Target="https://www.youtube.com/watch?v=fjD9BVlmPoA" TargetMode="External"/><Relationship Id="rId385" Type="http://schemas.openxmlformats.org/officeDocument/2006/relationships/hyperlink" Target="https://www.youtube.com/watch?v=myyrtrylWQs" TargetMode="External"/><Relationship Id="rId592" Type="http://schemas.openxmlformats.org/officeDocument/2006/relationships/hyperlink" Target="https://www.youtube.com/watch?v=S2ePhtW_O5A" TargetMode="External"/><Relationship Id="rId606" Type="http://schemas.openxmlformats.org/officeDocument/2006/relationships/hyperlink" Target="https://www.youtube.com/watch?v=AgRVHML48XM" TargetMode="External"/><Relationship Id="rId648" Type="http://schemas.openxmlformats.org/officeDocument/2006/relationships/hyperlink" Target="https://www.youtube.com/watch?v=FTdLV7hcCvI" TargetMode="External"/><Relationship Id="rId813" Type="http://schemas.openxmlformats.org/officeDocument/2006/relationships/hyperlink" Target="https://www.youtube.com/watch?v=DVcN5QXGA_w" TargetMode="External"/><Relationship Id="rId855" Type="http://schemas.openxmlformats.org/officeDocument/2006/relationships/hyperlink" Target="https://www.youtube.com/watch?v=4iGdwJ3nQcs&amp;t=38s" TargetMode="External"/><Relationship Id="rId245" Type="http://schemas.openxmlformats.org/officeDocument/2006/relationships/hyperlink" Target="https://www.youtube.com/watch?v=Vf5BOYF0S3Y" TargetMode="External"/><Relationship Id="rId287" Type="http://schemas.openxmlformats.org/officeDocument/2006/relationships/hyperlink" Target="https://www.youtube.com/watch?v=7jIfpSOnmK8" TargetMode="External"/><Relationship Id="rId410" Type="http://schemas.openxmlformats.org/officeDocument/2006/relationships/hyperlink" Target="https://www.youtube.com/watch?v=d9iObjKR5yI" TargetMode="External"/><Relationship Id="rId452" Type="http://schemas.openxmlformats.org/officeDocument/2006/relationships/hyperlink" Target="https://www.youtube.com/watch?v=fzzIeVO7-qk" TargetMode="External"/><Relationship Id="rId494" Type="http://schemas.openxmlformats.org/officeDocument/2006/relationships/hyperlink" Target="https://www.youtube.com/watch?v=afXofZLlzB4" TargetMode="External"/><Relationship Id="rId508" Type="http://schemas.openxmlformats.org/officeDocument/2006/relationships/hyperlink" Target="https://www.youtube.com/watch?v=M8Xez56Bg9c" TargetMode="External"/><Relationship Id="rId715" Type="http://schemas.openxmlformats.org/officeDocument/2006/relationships/hyperlink" Target="https://www.youtube.com/watch?v=WtWOT6Hj2vM" TargetMode="External"/><Relationship Id="rId897" Type="http://schemas.openxmlformats.org/officeDocument/2006/relationships/hyperlink" Target="https://www.youtube.com/watch?v=HQK8u4lh7y0" TargetMode="External"/><Relationship Id="rId922" Type="http://schemas.openxmlformats.org/officeDocument/2006/relationships/hyperlink" Target="https://www.youtube.com/embed/79r5KYH0nBI?start=515&amp;end=798&amp;autoplay=1" TargetMode="External"/><Relationship Id="rId105" Type="http://schemas.openxmlformats.org/officeDocument/2006/relationships/hyperlink" Target="https://www.youtube.com/watch?v=Yhp3rFuo5Cw" TargetMode="External"/><Relationship Id="rId147" Type="http://schemas.openxmlformats.org/officeDocument/2006/relationships/hyperlink" Target="https://www.youtube.com/embed/s3LVHHEe2vc?start=435&amp;end=561&amp;autoplay=1" TargetMode="External"/><Relationship Id="rId312" Type="http://schemas.openxmlformats.org/officeDocument/2006/relationships/hyperlink" Target="https://www.youtube.com/watch?v=Y1SUVA0PU1o" TargetMode="External"/><Relationship Id="rId354" Type="http://schemas.openxmlformats.org/officeDocument/2006/relationships/hyperlink" Target="https://www.youtube.com/watch?v=LI3VwCn-0WI" TargetMode="External"/><Relationship Id="rId757" Type="http://schemas.openxmlformats.org/officeDocument/2006/relationships/hyperlink" Target="https://www.youtube.com/watch?v=m1RnPcyk_e0" TargetMode="External"/><Relationship Id="rId799" Type="http://schemas.openxmlformats.org/officeDocument/2006/relationships/hyperlink" Target="https://www.youtube.com/watch?v=NpCmOPhka6g" TargetMode="External"/><Relationship Id="rId51" Type="http://schemas.openxmlformats.org/officeDocument/2006/relationships/hyperlink" Target="https://www.youtube.com/embed/N0PD3TuLvoo?start=0&amp;end=76&amp;autoplay=1" TargetMode="External"/><Relationship Id="rId93" Type="http://schemas.openxmlformats.org/officeDocument/2006/relationships/hyperlink" Target="https://www.youtube.com/embed/LXrKKz7Mld8?start=0&amp;end=447&amp;autoplay=1" TargetMode="External"/><Relationship Id="rId189" Type="http://schemas.openxmlformats.org/officeDocument/2006/relationships/hyperlink" Target="https://www.youtube.com/watch?v=BcDC-Op1hJc" TargetMode="External"/><Relationship Id="rId396" Type="http://schemas.openxmlformats.org/officeDocument/2006/relationships/hyperlink" Target="https://www.youtube.com/watch?v=KBA7GLExw3o" TargetMode="External"/><Relationship Id="rId561" Type="http://schemas.openxmlformats.org/officeDocument/2006/relationships/hyperlink" Target="https://www.youtube.com/watch?v=1-5q-Da6EHQ" TargetMode="External"/><Relationship Id="rId617" Type="http://schemas.openxmlformats.org/officeDocument/2006/relationships/hyperlink" Target="https://www.youtube.com/watch?v=IQCY6tVgZ9s" TargetMode="External"/><Relationship Id="rId659" Type="http://schemas.openxmlformats.org/officeDocument/2006/relationships/hyperlink" Target="https://www.youtube.com/watch?v=KStzrk3h76o" TargetMode="External"/><Relationship Id="rId824" Type="http://schemas.openxmlformats.org/officeDocument/2006/relationships/hyperlink" Target="https://www.youtube.com/watch?v=LIl0C87tzGE" TargetMode="External"/><Relationship Id="rId866" Type="http://schemas.openxmlformats.org/officeDocument/2006/relationships/hyperlink" Target="https://www.youtube.com/watch?v=Zused4CGMw4" TargetMode="External"/><Relationship Id="rId214" Type="http://schemas.openxmlformats.org/officeDocument/2006/relationships/hyperlink" Target="https://www.youtube.com/watch?v=iGpYgqX-p8c" TargetMode="External"/><Relationship Id="rId256" Type="http://schemas.openxmlformats.org/officeDocument/2006/relationships/hyperlink" Target="https://www.youtube.com/embed/Vf5BOYF0S3Y?start=4687&amp;end=4765&amp;autoplay=1" TargetMode="External"/><Relationship Id="rId298" Type="http://schemas.openxmlformats.org/officeDocument/2006/relationships/hyperlink" Target="https://www.youtube.com/watch?v=p6HgGSKj2m8" TargetMode="External"/><Relationship Id="rId421" Type="http://schemas.openxmlformats.org/officeDocument/2006/relationships/hyperlink" Target="https://www.youtube.com/watch?v=WQObFfIG62Q" TargetMode="External"/><Relationship Id="rId463" Type="http://schemas.openxmlformats.org/officeDocument/2006/relationships/hyperlink" Target="https://www.youtube.com/watch?v=tNKCTknE59M" TargetMode="External"/><Relationship Id="rId519" Type="http://schemas.openxmlformats.org/officeDocument/2006/relationships/hyperlink" Target="https://www.youtube.com/watch?v=dgXtHzSngX0" TargetMode="External"/><Relationship Id="rId670" Type="http://schemas.openxmlformats.org/officeDocument/2006/relationships/hyperlink" Target="https://www.youtube.com/watch?v=1uNyxmccf1U" TargetMode="External"/><Relationship Id="rId116" Type="http://schemas.openxmlformats.org/officeDocument/2006/relationships/hyperlink" Target="https://www.youtube.com/embed/-udb2VYB5uo?start=0&amp;end=274&amp;autoplay=1" TargetMode="External"/><Relationship Id="rId158" Type="http://schemas.openxmlformats.org/officeDocument/2006/relationships/hyperlink" Target="https://www.youtube.com/watch?v=IAmXafhUmYc" TargetMode="External"/><Relationship Id="rId323" Type="http://schemas.openxmlformats.org/officeDocument/2006/relationships/hyperlink" Target="https://www.youtube.com/watch?v=2Ew9deAuPwU" TargetMode="External"/><Relationship Id="rId530" Type="http://schemas.openxmlformats.org/officeDocument/2006/relationships/hyperlink" Target="https://www.youtube.com/watch?v=XCXsh2mfb3M" TargetMode="External"/><Relationship Id="rId726" Type="http://schemas.openxmlformats.org/officeDocument/2006/relationships/hyperlink" Target="https://www.youtube.com/watch?v=Z8Wd8i754cU" TargetMode="External"/><Relationship Id="rId768" Type="http://schemas.openxmlformats.org/officeDocument/2006/relationships/hyperlink" Target="https://www.youtube.com/watch?v=J2Z6w1bXfYc" TargetMode="External"/><Relationship Id="rId933" Type="http://schemas.openxmlformats.org/officeDocument/2006/relationships/comments" Target="../comments1.xml"/><Relationship Id="rId20" Type="http://schemas.openxmlformats.org/officeDocument/2006/relationships/hyperlink" Target="https://www.youtube.com/watch?v=0Y3z-QStbk8" TargetMode="External"/><Relationship Id="rId62" Type="http://schemas.openxmlformats.org/officeDocument/2006/relationships/hyperlink" Target="https://www.youtube.com/watch?v=elqL0Sr_sVU" TargetMode="External"/><Relationship Id="rId365" Type="http://schemas.openxmlformats.org/officeDocument/2006/relationships/hyperlink" Target="https://www.youtube.com/watch?v=182HueOxCaU" TargetMode="External"/><Relationship Id="rId572" Type="http://schemas.openxmlformats.org/officeDocument/2006/relationships/hyperlink" Target="https://www.youtube.com/watch?v=F4X3ljkLFP8" TargetMode="External"/><Relationship Id="rId628" Type="http://schemas.openxmlformats.org/officeDocument/2006/relationships/hyperlink" Target="https://www.youtube.com/watch?v=_vKbwIOfXy0" TargetMode="External"/><Relationship Id="rId835" Type="http://schemas.openxmlformats.org/officeDocument/2006/relationships/hyperlink" Target="https://www.youtube.com/watch?v=eKSuEJqn2NI" TargetMode="External"/><Relationship Id="rId225" Type="http://schemas.openxmlformats.org/officeDocument/2006/relationships/hyperlink" Target="https://www.youtube.com/embed/8RSu4ymCgp4?start=1940&amp;end=2005&amp;autoplay=1" TargetMode="External"/><Relationship Id="rId267" Type="http://schemas.openxmlformats.org/officeDocument/2006/relationships/hyperlink" Target="https://www.youtube.com/watch?v=eKtCOiQbVX0" TargetMode="External"/><Relationship Id="rId432" Type="http://schemas.openxmlformats.org/officeDocument/2006/relationships/hyperlink" Target="https://www.youtube.com/watch?v=_OWY_haNDNI" TargetMode="External"/><Relationship Id="rId474" Type="http://schemas.openxmlformats.org/officeDocument/2006/relationships/hyperlink" Target="https://www.youtube.com/watch?v=kpktr2ml8m8" TargetMode="External"/><Relationship Id="rId877" Type="http://schemas.openxmlformats.org/officeDocument/2006/relationships/hyperlink" Target="https://www.youtube.com/watch?v=oLCI7vQ7WFk" TargetMode="External"/><Relationship Id="rId127" Type="http://schemas.openxmlformats.org/officeDocument/2006/relationships/hyperlink" Target="https://www.youtube.com/watch?v=xtHzknvaS7s" TargetMode="External"/><Relationship Id="rId681" Type="http://schemas.openxmlformats.org/officeDocument/2006/relationships/hyperlink" Target="https://www.youtube.com/watch?v=4pkD8CkJiIQ" TargetMode="External"/><Relationship Id="rId737" Type="http://schemas.openxmlformats.org/officeDocument/2006/relationships/hyperlink" Target="https://www.youtube.com/watch?v=ANDhhofT1w0" TargetMode="External"/><Relationship Id="rId779" Type="http://schemas.openxmlformats.org/officeDocument/2006/relationships/hyperlink" Target="https://www.youtube.com/watch?v=kDDNkLWPpUc" TargetMode="External"/><Relationship Id="rId902" Type="http://schemas.openxmlformats.org/officeDocument/2006/relationships/hyperlink" Target="https://www.youtube.com/watch?v=JlEmX46IYNY" TargetMode="External"/><Relationship Id="rId31" Type="http://schemas.openxmlformats.org/officeDocument/2006/relationships/hyperlink" Target="https://www.youtube.com/embed/Uq2PJjcHiqI?start=401&amp;end=623&amp;autoplay=1" TargetMode="External"/><Relationship Id="rId73" Type="http://schemas.openxmlformats.org/officeDocument/2006/relationships/hyperlink" Target="https://www.youtube.com/embed/qCG2vqnaUx4?start=347&amp;end=514&amp;autoplay=1" TargetMode="External"/><Relationship Id="rId169" Type="http://schemas.openxmlformats.org/officeDocument/2006/relationships/hyperlink" Target="https://www.youtube.com/embed/YFmL65VsWdk?start=855&amp;end=900&amp;autoplay=1" TargetMode="External"/><Relationship Id="rId334" Type="http://schemas.openxmlformats.org/officeDocument/2006/relationships/hyperlink" Target="https://www.youtube.com/embed/cpZPvFvzNlc?start=1042&amp;end=1090&amp;autoplay=1" TargetMode="External"/><Relationship Id="rId376" Type="http://schemas.openxmlformats.org/officeDocument/2006/relationships/hyperlink" Target="https://www.youtube.com/watch?v=gKt4SG-pAmw" TargetMode="External"/><Relationship Id="rId541" Type="http://schemas.openxmlformats.org/officeDocument/2006/relationships/hyperlink" Target="https://www.youtube.com/watch?v=_OTzuNIDOOA" TargetMode="External"/><Relationship Id="rId583" Type="http://schemas.openxmlformats.org/officeDocument/2006/relationships/hyperlink" Target="https://www.youtube.com/watch?v=mK5DuxKw-I8" TargetMode="External"/><Relationship Id="rId639" Type="http://schemas.openxmlformats.org/officeDocument/2006/relationships/hyperlink" Target="https://www.youtube.com/watch?v=47hxgUfQ8jo" TargetMode="External"/><Relationship Id="rId790" Type="http://schemas.openxmlformats.org/officeDocument/2006/relationships/hyperlink" Target="https://www.youtube.com/watch?v=az7GJp1YAXw" TargetMode="External"/><Relationship Id="rId804" Type="http://schemas.openxmlformats.org/officeDocument/2006/relationships/hyperlink" Target="https://www.youtube.com/watch?v=Yb0AWtlb8-g" TargetMode="External"/><Relationship Id="rId4" Type="http://schemas.openxmlformats.org/officeDocument/2006/relationships/hyperlink" Target="https://www.youtube.com/watch?v=FytdS2vMJfU" TargetMode="External"/><Relationship Id="rId180" Type="http://schemas.openxmlformats.org/officeDocument/2006/relationships/hyperlink" Target="https://www.youtube.com/watch?v=uDANJcQm-So" TargetMode="External"/><Relationship Id="rId236" Type="http://schemas.openxmlformats.org/officeDocument/2006/relationships/hyperlink" Target="https://www.youtube.com/embed/8RSu4ymCgp4?start=3750&amp;end=4340&amp;autoplay=1" TargetMode="External"/><Relationship Id="rId278" Type="http://schemas.openxmlformats.org/officeDocument/2006/relationships/hyperlink" Target="https://www.youtube.com/watch?v=6LOxjxiZ3NQ" TargetMode="External"/><Relationship Id="rId401" Type="http://schemas.openxmlformats.org/officeDocument/2006/relationships/hyperlink" Target="https://www.youtube.com/watch?v=4H5piNrmsCU" TargetMode="External"/><Relationship Id="rId443" Type="http://schemas.openxmlformats.org/officeDocument/2006/relationships/hyperlink" Target="https://www.youtube.com/watch?v=dZCZp5udJeI" TargetMode="External"/><Relationship Id="rId650" Type="http://schemas.openxmlformats.org/officeDocument/2006/relationships/hyperlink" Target="https://www.youtube.com/watch?v=iGqKIfGTc-s" TargetMode="External"/><Relationship Id="rId846" Type="http://schemas.openxmlformats.org/officeDocument/2006/relationships/hyperlink" Target="https://www.youtube.com/watch?v=qY_yQIrKwRk" TargetMode="External"/><Relationship Id="rId888" Type="http://schemas.openxmlformats.org/officeDocument/2006/relationships/hyperlink" Target="https://www.youtube.com/watch?v=zEXu5K5eyCY" TargetMode="External"/><Relationship Id="rId303" Type="http://schemas.openxmlformats.org/officeDocument/2006/relationships/hyperlink" Target="https://www.youtube.com/watch?v=HdBCunbR_jE" TargetMode="External"/><Relationship Id="rId485" Type="http://schemas.openxmlformats.org/officeDocument/2006/relationships/hyperlink" Target="https://www.youtube.com/watch?v=jQ47l4DT1BY" TargetMode="External"/><Relationship Id="rId692" Type="http://schemas.openxmlformats.org/officeDocument/2006/relationships/hyperlink" Target="https://www.youtube.com/watch?v=log0y9fRklc" TargetMode="External"/><Relationship Id="rId706" Type="http://schemas.openxmlformats.org/officeDocument/2006/relationships/hyperlink" Target="https://www.youtube.com/watch?v=Aivw6qVhabo" TargetMode="External"/><Relationship Id="rId748" Type="http://schemas.openxmlformats.org/officeDocument/2006/relationships/hyperlink" Target="https://www.youtube.com/watch?v=zNgyoAjVDhk" TargetMode="External"/><Relationship Id="rId913" Type="http://schemas.openxmlformats.org/officeDocument/2006/relationships/hyperlink" Target="https://www.youtube.com/watch?v=dvcJI5yAd6M&amp;t=122s" TargetMode="External"/><Relationship Id="rId42" Type="http://schemas.openxmlformats.org/officeDocument/2006/relationships/hyperlink" Target="https://www.youtube.com/embed/LdrmgXtd_rs?start=572&amp;end=712&amp;autoplay=1" TargetMode="External"/><Relationship Id="rId84" Type="http://schemas.openxmlformats.org/officeDocument/2006/relationships/hyperlink" Target="https://www.youtube.com/watch?v=iS7CE9mrtI4" TargetMode="External"/><Relationship Id="rId138" Type="http://schemas.openxmlformats.org/officeDocument/2006/relationships/hyperlink" Target="https://www.youtube.com/embed/ByaheAphduQ?start=2160&amp;end=2298&amp;autoplay=1" TargetMode="External"/><Relationship Id="rId345" Type="http://schemas.openxmlformats.org/officeDocument/2006/relationships/hyperlink" Target="https://www.youtube.com/watch?v=Wu9WbgwxgjI" TargetMode="External"/><Relationship Id="rId387" Type="http://schemas.openxmlformats.org/officeDocument/2006/relationships/hyperlink" Target="https://www.youtube.com/watch?v=7zvf9bnLgs8" TargetMode="External"/><Relationship Id="rId510" Type="http://schemas.openxmlformats.org/officeDocument/2006/relationships/hyperlink" Target="https://www.youtube.com/watch?v=fKsfq4rFzbA" TargetMode="External"/><Relationship Id="rId552" Type="http://schemas.openxmlformats.org/officeDocument/2006/relationships/hyperlink" Target="https://www.youtube.com/watch?v=ebsBucPcYoU" TargetMode="External"/><Relationship Id="rId594" Type="http://schemas.openxmlformats.org/officeDocument/2006/relationships/hyperlink" Target="https://www.youtube.com/watch?v=tRgTeYpgv8c" TargetMode="External"/><Relationship Id="rId608" Type="http://schemas.openxmlformats.org/officeDocument/2006/relationships/hyperlink" Target="https://www.youtube.com/watch?v=xuKnWRKpLyM" TargetMode="External"/><Relationship Id="rId815" Type="http://schemas.openxmlformats.org/officeDocument/2006/relationships/hyperlink" Target="https://www.youtube.com/watch?v=7-JbRtATwHQ" TargetMode="External"/><Relationship Id="rId191" Type="http://schemas.openxmlformats.org/officeDocument/2006/relationships/hyperlink" Target="https://www.youtube.com/watch?v=Wrs0XEoFHAM" TargetMode="External"/><Relationship Id="rId205" Type="http://schemas.openxmlformats.org/officeDocument/2006/relationships/hyperlink" Target="https://www.youtube.com/embed/fjD9BVlmPoA?start=1709&amp;end=1850&amp;autoplay=1" TargetMode="External"/><Relationship Id="rId247" Type="http://schemas.openxmlformats.org/officeDocument/2006/relationships/hyperlink" Target="https://www.youtube.com/embed/Vf5BOYF0S3Y?start=1800&amp;end=1925&amp;autoplay=1" TargetMode="External"/><Relationship Id="rId412" Type="http://schemas.openxmlformats.org/officeDocument/2006/relationships/hyperlink" Target="https://www.youtube.com/watch?v=yr_-UHm07rM" TargetMode="External"/><Relationship Id="rId857" Type="http://schemas.openxmlformats.org/officeDocument/2006/relationships/hyperlink" Target="https://www.youtube.com/watch?v=_xxJKDZyRuE" TargetMode="External"/><Relationship Id="rId899" Type="http://schemas.openxmlformats.org/officeDocument/2006/relationships/hyperlink" Target="https://www.youtube.com/watch?v=ZErxsCxSQsA" TargetMode="External"/><Relationship Id="rId107" Type="http://schemas.openxmlformats.org/officeDocument/2006/relationships/hyperlink" Target="https://www.youtube.com/embed/Yhp3rFuo5Cw?start=361&amp;end=771&amp;autoplay=1" TargetMode="External"/><Relationship Id="rId289" Type="http://schemas.openxmlformats.org/officeDocument/2006/relationships/hyperlink" Target="https://www.youtube.com/watch?v=2WYZtS_LLog" TargetMode="External"/><Relationship Id="rId454" Type="http://schemas.openxmlformats.org/officeDocument/2006/relationships/hyperlink" Target="https://www.youtube.com/watch?v=OXYcMlprdL4" TargetMode="External"/><Relationship Id="rId496" Type="http://schemas.openxmlformats.org/officeDocument/2006/relationships/hyperlink" Target="https://www.youtube.com/watch?v=zgOMSgegwGk" TargetMode="External"/><Relationship Id="rId661" Type="http://schemas.openxmlformats.org/officeDocument/2006/relationships/hyperlink" Target="https://www.youtube.com/watch?v=1UT4aCq24wA" TargetMode="External"/><Relationship Id="rId717" Type="http://schemas.openxmlformats.org/officeDocument/2006/relationships/hyperlink" Target="https://www.youtube.com/watch?v=FgVpxhtCQdA" TargetMode="External"/><Relationship Id="rId759" Type="http://schemas.openxmlformats.org/officeDocument/2006/relationships/hyperlink" Target="https://www.youtube.com/watch?v=ZkrWcJXqbGA" TargetMode="External"/><Relationship Id="rId924" Type="http://schemas.openxmlformats.org/officeDocument/2006/relationships/hyperlink" Target="https://www.youtube.com/embed/79r5KYH0nBI?start=943&amp;end=1176&amp;autoplay=1" TargetMode="External"/><Relationship Id="rId11" Type="http://schemas.openxmlformats.org/officeDocument/2006/relationships/hyperlink" Target="https://www.youtube.com/watch?v=Kxuiy8OL30w" TargetMode="External"/><Relationship Id="rId53" Type="http://schemas.openxmlformats.org/officeDocument/2006/relationships/hyperlink" Target="https://www.youtube.com/embed/N0PD3TuLvoo?start=197&amp;end=304&amp;autoplay=1" TargetMode="External"/><Relationship Id="rId149" Type="http://schemas.openxmlformats.org/officeDocument/2006/relationships/hyperlink" Target="https://www.youtube.com/embed/s3LVHHEe2vc?start=2237&amp;end=2340&amp;autoplay=1" TargetMode="External"/><Relationship Id="rId314" Type="http://schemas.openxmlformats.org/officeDocument/2006/relationships/hyperlink" Target="https://www.youtube.com/watch?v=hgdVPIrlSPU" TargetMode="External"/><Relationship Id="rId356" Type="http://schemas.openxmlformats.org/officeDocument/2006/relationships/hyperlink" Target="https://www.youtube.com/watch?v=Yf6-fJ-LcU8" TargetMode="External"/><Relationship Id="rId398" Type="http://schemas.openxmlformats.org/officeDocument/2006/relationships/hyperlink" Target="https://www.youtube.com/watch?v=GajqTVRZzfE" TargetMode="External"/><Relationship Id="rId521" Type="http://schemas.openxmlformats.org/officeDocument/2006/relationships/hyperlink" Target="https://www.youtube.com/watch?v=I6Nwopg3FIw" TargetMode="External"/><Relationship Id="rId563" Type="http://schemas.openxmlformats.org/officeDocument/2006/relationships/hyperlink" Target="https://www.youtube.com/watch?v=3zpg3MGhmyI" TargetMode="External"/><Relationship Id="rId619" Type="http://schemas.openxmlformats.org/officeDocument/2006/relationships/hyperlink" Target="https://www.youtube.com/watch?v=kZVT_WU4Pm4" TargetMode="External"/><Relationship Id="rId770" Type="http://schemas.openxmlformats.org/officeDocument/2006/relationships/hyperlink" Target="https://www.youtube.com/watch?v=4W3kmjNG_K8" TargetMode="External"/><Relationship Id="rId95" Type="http://schemas.openxmlformats.org/officeDocument/2006/relationships/hyperlink" Target="https://www.youtube.com/embed/ufZ1BZcZzKI?start=0&amp;end=297&amp;autoplay=1" TargetMode="External"/><Relationship Id="rId160" Type="http://schemas.openxmlformats.org/officeDocument/2006/relationships/hyperlink" Target="https://www.youtube.com/watch?v=J5mYtIH7Pho" TargetMode="External"/><Relationship Id="rId216" Type="http://schemas.openxmlformats.org/officeDocument/2006/relationships/hyperlink" Target="https://www.youtube.com/watch?v=gmu_fBglk-A" TargetMode="External"/><Relationship Id="rId423" Type="http://schemas.openxmlformats.org/officeDocument/2006/relationships/hyperlink" Target="https://www.youtube.com/watch?v=ZWkU2WQv4mM" TargetMode="External"/><Relationship Id="rId826" Type="http://schemas.openxmlformats.org/officeDocument/2006/relationships/hyperlink" Target="https://www.youtube.com/watch?v=MAt3aD51sUM" TargetMode="External"/><Relationship Id="rId868" Type="http://schemas.openxmlformats.org/officeDocument/2006/relationships/hyperlink" Target="https://www.youtube.com/watch?v=k0FNC9LuJoo&amp;t=4s" TargetMode="External"/><Relationship Id="rId258" Type="http://schemas.openxmlformats.org/officeDocument/2006/relationships/hyperlink" Target="https://www.youtube.com/embed/Vf5BOYF0S3Y?start=5418&amp;end=5600&amp;autoplay=1" TargetMode="External"/><Relationship Id="rId465" Type="http://schemas.openxmlformats.org/officeDocument/2006/relationships/hyperlink" Target="https://www.youtube.com/watch?v=59-D2X_vmlA" TargetMode="External"/><Relationship Id="rId630" Type="http://schemas.openxmlformats.org/officeDocument/2006/relationships/hyperlink" Target="https://www.youtube.com/watch?v=Deab_JE4fv4" TargetMode="External"/><Relationship Id="rId672" Type="http://schemas.openxmlformats.org/officeDocument/2006/relationships/hyperlink" Target="https://www.youtube.com/watch?v=NeCQOUox8zc" TargetMode="External"/><Relationship Id="rId728" Type="http://schemas.openxmlformats.org/officeDocument/2006/relationships/hyperlink" Target="https://www.youtube.com/watch?v=aEAK6N982oQ" TargetMode="External"/><Relationship Id="rId22" Type="http://schemas.openxmlformats.org/officeDocument/2006/relationships/hyperlink" Target="https://www.youtube.com/watch?v=_IcfDP-ezpo" TargetMode="External"/><Relationship Id="rId64" Type="http://schemas.openxmlformats.org/officeDocument/2006/relationships/hyperlink" Target="https://www.youtube.com/watch?v=BEz8X5SUwjY" TargetMode="External"/><Relationship Id="rId118" Type="http://schemas.openxmlformats.org/officeDocument/2006/relationships/hyperlink" Target="https://www.youtube.com/watch?v=f-MLHIb4dFU" TargetMode="External"/><Relationship Id="rId325" Type="http://schemas.openxmlformats.org/officeDocument/2006/relationships/hyperlink" Target="https://www.youtube.com/watch?v=t_J24YUQNK4" TargetMode="External"/><Relationship Id="rId367" Type="http://schemas.openxmlformats.org/officeDocument/2006/relationships/hyperlink" Target="https://www.youtube.com/watch?v=Dymxd9hAemA" TargetMode="External"/><Relationship Id="rId532" Type="http://schemas.openxmlformats.org/officeDocument/2006/relationships/hyperlink" Target="https://www.youtube.com/watch?v=VxI-y4zU4YE" TargetMode="External"/><Relationship Id="rId574" Type="http://schemas.openxmlformats.org/officeDocument/2006/relationships/hyperlink" Target="https://www.youtube.com/watch?v=JDOBTQ94-S4" TargetMode="External"/><Relationship Id="rId171" Type="http://schemas.openxmlformats.org/officeDocument/2006/relationships/hyperlink" Target="https://www.youtube.com/embed/YFmL65VsWdk?start=965&amp;end=1074&amp;autoplay=1" TargetMode="External"/><Relationship Id="rId227" Type="http://schemas.openxmlformats.org/officeDocument/2006/relationships/hyperlink" Target="https://www.youtube.com/embed/8RSu4ymCgp4?start=2074&amp;end=2192&amp;autoplay=1" TargetMode="External"/><Relationship Id="rId781" Type="http://schemas.openxmlformats.org/officeDocument/2006/relationships/hyperlink" Target="https://www.youtube.com/watch?v=1k_PbRxkEqo" TargetMode="External"/><Relationship Id="rId837" Type="http://schemas.openxmlformats.org/officeDocument/2006/relationships/hyperlink" Target="https://www.youtube.com/watch?v=bD-uUsBgY-w" TargetMode="External"/><Relationship Id="rId879" Type="http://schemas.openxmlformats.org/officeDocument/2006/relationships/hyperlink" Target="https://www.youtube.com/watch?v=3ytmTvor21A" TargetMode="External"/><Relationship Id="rId269" Type="http://schemas.openxmlformats.org/officeDocument/2006/relationships/hyperlink" Target="https://www.youtube.com/watch?v=TxC_8Xllf-M" TargetMode="External"/><Relationship Id="rId434" Type="http://schemas.openxmlformats.org/officeDocument/2006/relationships/hyperlink" Target="https://www.youtube.com/watch?v=NpqJHyWjh7A" TargetMode="External"/><Relationship Id="rId476" Type="http://schemas.openxmlformats.org/officeDocument/2006/relationships/hyperlink" Target="https://www.youtube.com/watch?v=r2uhf3x6oH8" TargetMode="External"/><Relationship Id="rId641" Type="http://schemas.openxmlformats.org/officeDocument/2006/relationships/hyperlink" Target="https://www.youtube.com/watch?v=Xsq9jAEpAY8" TargetMode="External"/><Relationship Id="rId683" Type="http://schemas.openxmlformats.org/officeDocument/2006/relationships/hyperlink" Target="https://www.youtube.com/watch?v=xkyySDtO5HU" TargetMode="External"/><Relationship Id="rId739" Type="http://schemas.openxmlformats.org/officeDocument/2006/relationships/hyperlink" Target="https://www.youtube.com/watch?v=wEalKzas5Ig" TargetMode="External"/><Relationship Id="rId890" Type="http://schemas.openxmlformats.org/officeDocument/2006/relationships/hyperlink" Target="https://www.youtube.com/watch?v=7IXp156RgtQ" TargetMode="External"/><Relationship Id="rId904" Type="http://schemas.openxmlformats.org/officeDocument/2006/relationships/hyperlink" Target="https://www.youtube.com/watch?v=sy6xQyjX7qg" TargetMode="External"/><Relationship Id="rId33" Type="http://schemas.openxmlformats.org/officeDocument/2006/relationships/hyperlink" Target="https://www.youtube.com/embed/Uq2PJjcHiqI?start=664&amp;end=802&amp;autoplay=1" TargetMode="External"/><Relationship Id="rId129" Type="http://schemas.openxmlformats.org/officeDocument/2006/relationships/hyperlink" Target="https://www.youtube.com/embed/ByaheAphduQ?start=0&amp;end=450&amp;autoplay=1" TargetMode="External"/><Relationship Id="rId280" Type="http://schemas.openxmlformats.org/officeDocument/2006/relationships/hyperlink" Target="https://www.youtube.com/watch?v=JErwMUETzvU" TargetMode="External"/><Relationship Id="rId336" Type="http://schemas.openxmlformats.org/officeDocument/2006/relationships/hyperlink" Target="https://www.youtube.com/embed/cpZPvFvzNlc?start=1663&amp;end=1956&amp;autoplay=1" TargetMode="External"/><Relationship Id="rId501" Type="http://schemas.openxmlformats.org/officeDocument/2006/relationships/hyperlink" Target="https://www.youtube.com/watch?v=cuauchPBFCY" TargetMode="External"/><Relationship Id="rId543" Type="http://schemas.openxmlformats.org/officeDocument/2006/relationships/hyperlink" Target="https://www.youtube.com/watch?v=V-N1KdB7QTg" TargetMode="External"/><Relationship Id="rId75" Type="http://schemas.openxmlformats.org/officeDocument/2006/relationships/hyperlink" Target="https://www.youtube.com/embed/ycnvyB8pDEM?start=31&amp;end=306&amp;autoplay=1" TargetMode="External"/><Relationship Id="rId140" Type="http://schemas.openxmlformats.org/officeDocument/2006/relationships/hyperlink" Target="https://www.youtube.com/embed/ByaheAphduQ?start=2595&amp;end=2650&amp;autoplay=1" TargetMode="External"/><Relationship Id="rId182" Type="http://schemas.openxmlformats.org/officeDocument/2006/relationships/hyperlink" Target="https://www.youtube.com/watch?v=aXm-YqwVmbs" TargetMode="External"/><Relationship Id="rId378" Type="http://schemas.openxmlformats.org/officeDocument/2006/relationships/hyperlink" Target="https://www.youtube.com/watch?v=30958J1ez4k" TargetMode="External"/><Relationship Id="rId403" Type="http://schemas.openxmlformats.org/officeDocument/2006/relationships/hyperlink" Target="https://www.youtube.com/watch?v=7WA-8QBd5Tk" TargetMode="External"/><Relationship Id="rId585" Type="http://schemas.openxmlformats.org/officeDocument/2006/relationships/hyperlink" Target="https://www.youtube.com/watch?v=dzUx3zUv_yw" TargetMode="External"/><Relationship Id="rId750" Type="http://schemas.openxmlformats.org/officeDocument/2006/relationships/hyperlink" Target="https://www.youtube.com/watch?v=9qgkONu6nbk" TargetMode="External"/><Relationship Id="rId792" Type="http://schemas.openxmlformats.org/officeDocument/2006/relationships/hyperlink" Target="https://www.youtube.com/watch?v=IS6hRiM7WuU" TargetMode="External"/><Relationship Id="rId806" Type="http://schemas.openxmlformats.org/officeDocument/2006/relationships/hyperlink" Target="https://www.youtube.com/watch?v=-pDxEjRprYM" TargetMode="External"/><Relationship Id="rId848" Type="http://schemas.openxmlformats.org/officeDocument/2006/relationships/hyperlink" Target="https://www.youtube.com/watch?v=Fb11XAvWeyE" TargetMode="External"/><Relationship Id="rId6" Type="http://schemas.openxmlformats.org/officeDocument/2006/relationships/hyperlink" Target="https://www.youtube.com/watch?v=WU456HIXN5U" TargetMode="External"/><Relationship Id="rId238" Type="http://schemas.openxmlformats.org/officeDocument/2006/relationships/hyperlink" Target="https://www.youtube.com/embed/8RSu4ymCgp4?start=4700&amp;end=4790&amp;autoplay=1" TargetMode="External"/><Relationship Id="rId445" Type="http://schemas.openxmlformats.org/officeDocument/2006/relationships/hyperlink" Target="https://www.youtube.com/watch?v=Q3ZGmGasWfc" TargetMode="External"/><Relationship Id="rId487" Type="http://schemas.openxmlformats.org/officeDocument/2006/relationships/hyperlink" Target="https://www.youtube.com/watch?v=wXSD2PQznXI" TargetMode="External"/><Relationship Id="rId610" Type="http://schemas.openxmlformats.org/officeDocument/2006/relationships/hyperlink" Target="https://www.youtube.com/watch?v=xhcu0nbcfy0" TargetMode="External"/><Relationship Id="rId652" Type="http://schemas.openxmlformats.org/officeDocument/2006/relationships/hyperlink" Target="https://www.youtube.com/watch?v=4PxIlOKBbng" TargetMode="External"/><Relationship Id="rId694" Type="http://schemas.openxmlformats.org/officeDocument/2006/relationships/hyperlink" Target="https://www.youtube.com/watch?v=gzOZ5Lo3n9Y" TargetMode="External"/><Relationship Id="rId708" Type="http://schemas.openxmlformats.org/officeDocument/2006/relationships/hyperlink" Target="https://www.youtube.com/watch?v=dLQSHM_T-jI" TargetMode="External"/><Relationship Id="rId915" Type="http://schemas.openxmlformats.org/officeDocument/2006/relationships/hyperlink" Target="https://www.youtube.com/watch?v=JB_lc00AWIE" TargetMode="External"/><Relationship Id="rId291" Type="http://schemas.openxmlformats.org/officeDocument/2006/relationships/hyperlink" Target="https://www.youtube.com/watch?v=7ZD3D4mAoaE" TargetMode="External"/><Relationship Id="rId305" Type="http://schemas.openxmlformats.org/officeDocument/2006/relationships/hyperlink" Target="https://www.youtube.com/watch?v=5K-nmVDwXW0" TargetMode="External"/><Relationship Id="rId347" Type="http://schemas.openxmlformats.org/officeDocument/2006/relationships/hyperlink" Target="https://www.youtube.com/watch?v=oeFU8Lk35BI" TargetMode="External"/><Relationship Id="rId512" Type="http://schemas.openxmlformats.org/officeDocument/2006/relationships/hyperlink" Target="https://www.youtube.com/watch?v=YHee5lF9yPc" TargetMode="External"/><Relationship Id="rId44" Type="http://schemas.openxmlformats.org/officeDocument/2006/relationships/hyperlink" Target="https://www.youtube.com/embed/gbWoqwJKhbM?start=2&amp;end=524&amp;autoplay=1" TargetMode="External"/><Relationship Id="rId86" Type="http://schemas.openxmlformats.org/officeDocument/2006/relationships/hyperlink" Target="https://www.youtube.com/embed/THua8SMPtK4?start=0&amp;end=276&amp;autoplay=1" TargetMode="External"/><Relationship Id="rId151" Type="http://schemas.openxmlformats.org/officeDocument/2006/relationships/hyperlink" Target="https://www.youtube.com/embed/s3LVHHEe2vc?start=2475&amp;end=2630&amp;autoplay=1" TargetMode="External"/><Relationship Id="rId389" Type="http://schemas.openxmlformats.org/officeDocument/2006/relationships/hyperlink" Target="https://www.youtube.com/watch?v=Th1s8XrKhnk" TargetMode="External"/><Relationship Id="rId554" Type="http://schemas.openxmlformats.org/officeDocument/2006/relationships/hyperlink" Target="https://www.youtube.com/watch?v=go47jpA5M1A" TargetMode="External"/><Relationship Id="rId596" Type="http://schemas.openxmlformats.org/officeDocument/2006/relationships/hyperlink" Target="https://www.youtube.com/watch?v=AefxKKTqv5I" TargetMode="External"/><Relationship Id="rId761" Type="http://schemas.openxmlformats.org/officeDocument/2006/relationships/hyperlink" Target="https://www.youtube.com/watch?v=j53ZVDx4pYc" TargetMode="External"/><Relationship Id="rId817" Type="http://schemas.openxmlformats.org/officeDocument/2006/relationships/hyperlink" Target="https://www.youtube.com/watch?v=mScbp58xwJE" TargetMode="External"/><Relationship Id="rId859" Type="http://schemas.openxmlformats.org/officeDocument/2006/relationships/hyperlink" Target="https://www.youtube.com/watch?v=vmOlaD1O5rg" TargetMode="External"/><Relationship Id="rId193" Type="http://schemas.openxmlformats.org/officeDocument/2006/relationships/hyperlink" Target="https://www.youtube.com/watch?v=G3NpQQMh8jQ" TargetMode="External"/><Relationship Id="rId207" Type="http://schemas.openxmlformats.org/officeDocument/2006/relationships/hyperlink" Target="https://www.youtube.com/embed/fjD9BVlmPoA?start=2450&amp;end=2870&amp;autoplay=1" TargetMode="External"/><Relationship Id="rId249" Type="http://schemas.openxmlformats.org/officeDocument/2006/relationships/hyperlink" Target="https://www.youtube.com/embed/Vf5BOYF0S3Y?start=1810&amp;end=2430&amp;autoplay=1" TargetMode="External"/><Relationship Id="rId414" Type="http://schemas.openxmlformats.org/officeDocument/2006/relationships/hyperlink" Target="https://www.youtube.com/watch?v=11Ben3IvDQ0" TargetMode="External"/><Relationship Id="rId456" Type="http://schemas.openxmlformats.org/officeDocument/2006/relationships/hyperlink" Target="https://www.youtube.com/watch?v=c13ZN5rYckE" TargetMode="External"/><Relationship Id="rId498" Type="http://schemas.openxmlformats.org/officeDocument/2006/relationships/hyperlink" Target="https://www.youtube.com/watch?v=MP4mGKSR2-0" TargetMode="External"/><Relationship Id="rId621" Type="http://schemas.openxmlformats.org/officeDocument/2006/relationships/hyperlink" Target="https://www.youtube.com/watch?v=KdiEMEbTV1M" TargetMode="External"/><Relationship Id="rId663" Type="http://schemas.openxmlformats.org/officeDocument/2006/relationships/hyperlink" Target="https://www.youtube.com/watch?v=a6bj2Qddmzk" TargetMode="External"/><Relationship Id="rId870" Type="http://schemas.openxmlformats.org/officeDocument/2006/relationships/hyperlink" Target="https://www.youtube.com/watch?v=VKbVHIgKbbo" TargetMode="External"/><Relationship Id="rId13" Type="http://schemas.openxmlformats.org/officeDocument/2006/relationships/hyperlink" Target="https://www.youtube.com/watch?v=jMgGGixmfus" TargetMode="External"/><Relationship Id="rId109" Type="http://schemas.openxmlformats.org/officeDocument/2006/relationships/hyperlink" Target="https://www.youtube.com/embed/8qjQH_-WzyE?start=0&amp;end=344&amp;autoplay=1" TargetMode="External"/><Relationship Id="rId260" Type="http://schemas.openxmlformats.org/officeDocument/2006/relationships/hyperlink" Target="https://www.youtube.com/watch?v=WMf0Mau2TzE" TargetMode="External"/><Relationship Id="rId316" Type="http://schemas.openxmlformats.org/officeDocument/2006/relationships/hyperlink" Target="https://www.youtube.com/watch?v=wH8I0vSB-Os" TargetMode="External"/><Relationship Id="rId523" Type="http://schemas.openxmlformats.org/officeDocument/2006/relationships/hyperlink" Target="https://www.youtube.com/watch?v=DYtc95s7Kpc" TargetMode="External"/><Relationship Id="rId719" Type="http://schemas.openxmlformats.org/officeDocument/2006/relationships/hyperlink" Target="https://www.youtube.com/watch?v=n0Ekb7yhf18" TargetMode="External"/><Relationship Id="rId926" Type="http://schemas.openxmlformats.org/officeDocument/2006/relationships/hyperlink" Target="https://www.youtube.com/embed/79r5KYH0nBI?start=1745&amp;end=2013&amp;autoplay=1" TargetMode="External"/><Relationship Id="rId55" Type="http://schemas.openxmlformats.org/officeDocument/2006/relationships/hyperlink" Target="https://www.youtube.com/watch?v=C3_6Ub1GnfA" TargetMode="External"/><Relationship Id="rId97" Type="http://schemas.openxmlformats.org/officeDocument/2006/relationships/hyperlink" Target="https://www.youtube.com/embed/rNhQIKC2jPM?start=261&amp;end=457&amp;autoplay=1" TargetMode="External"/><Relationship Id="rId120" Type="http://schemas.openxmlformats.org/officeDocument/2006/relationships/hyperlink" Target="https://www.youtube.com/embed/f-MLHIb4dFU?start=274&amp;end=416&amp;autoplay=1" TargetMode="External"/><Relationship Id="rId358" Type="http://schemas.openxmlformats.org/officeDocument/2006/relationships/hyperlink" Target="https://www.youtube.com/watch?v=wm8QHjKcDf8" TargetMode="External"/><Relationship Id="rId565" Type="http://schemas.openxmlformats.org/officeDocument/2006/relationships/hyperlink" Target="https://www.youtube.com/watch?v=yCrftsxElf8" TargetMode="External"/><Relationship Id="rId730" Type="http://schemas.openxmlformats.org/officeDocument/2006/relationships/hyperlink" Target="https://www.youtube.com/watch?v=i24adZlRCZk" TargetMode="External"/><Relationship Id="rId772" Type="http://schemas.openxmlformats.org/officeDocument/2006/relationships/hyperlink" Target="https://www.youtube.com/watch?v=RfiT3REVHxQ" TargetMode="External"/><Relationship Id="rId828" Type="http://schemas.openxmlformats.org/officeDocument/2006/relationships/hyperlink" Target="https://www.youtube.com/watch?v=XfaMChybaCc" TargetMode="External"/><Relationship Id="rId162" Type="http://schemas.openxmlformats.org/officeDocument/2006/relationships/hyperlink" Target="https://www.youtube.com/watch?v=MlTxtaiX1xI" TargetMode="External"/><Relationship Id="rId218" Type="http://schemas.openxmlformats.org/officeDocument/2006/relationships/hyperlink" Target="https://www.youtube.com/watch?v=91dtNzk71IA" TargetMode="External"/><Relationship Id="rId425" Type="http://schemas.openxmlformats.org/officeDocument/2006/relationships/hyperlink" Target="https://www.youtube.com/watch?v=mNRX-8C-RmY" TargetMode="External"/><Relationship Id="rId467" Type="http://schemas.openxmlformats.org/officeDocument/2006/relationships/hyperlink" Target="https://www.youtube.com/watch?v=7JNUG5Lyals" TargetMode="External"/><Relationship Id="rId632" Type="http://schemas.openxmlformats.org/officeDocument/2006/relationships/hyperlink" Target="https://www.youtube.com/watch?v=NRep5rGd_FU" TargetMode="External"/><Relationship Id="rId271" Type="http://schemas.openxmlformats.org/officeDocument/2006/relationships/hyperlink" Target="https://www.youtube.com/watch?v=rdyZwjy8Wko" TargetMode="External"/><Relationship Id="rId674" Type="http://schemas.openxmlformats.org/officeDocument/2006/relationships/hyperlink" Target="https://www.youtube.com/watch?v=gPdm-EF13GU" TargetMode="External"/><Relationship Id="rId881" Type="http://schemas.openxmlformats.org/officeDocument/2006/relationships/hyperlink" Target="https://www.youtube.com/watch?v=sEg8fP2ckhI" TargetMode="External"/><Relationship Id="rId24" Type="http://schemas.openxmlformats.org/officeDocument/2006/relationships/hyperlink" Target="https://www.youtube.com/embed/_IcfDP-ezpo?start=280&amp;end=499&amp;autoplay=1" TargetMode="External"/><Relationship Id="rId66" Type="http://schemas.openxmlformats.org/officeDocument/2006/relationships/hyperlink" Target="https://www.youtube.com/embed/BEz8X5SUwjY?start=355&amp;end=633&amp;autoplay=1" TargetMode="External"/><Relationship Id="rId131" Type="http://schemas.openxmlformats.org/officeDocument/2006/relationships/hyperlink" Target="https://www.youtube.com/embed/ByaheAphduQ?start=1090&amp;end=1199&amp;autoplay=1" TargetMode="External"/><Relationship Id="rId327" Type="http://schemas.openxmlformats.org/officeDocument/2006/relationships/hyperlink" Target="https://www.youtube.com/watch?v=57-MHC42i7g" TargetMode="External"/><Relationship Id="rId369" Type="http://schemas.openxmlformats.org/officeDocument/2006/relationships/hyperlink" Target="https://www.youtube.com/watch?v=gU4jkSa9phY" TargetMode="External"/><Relationship Id="rId534" Type="http://schemas.openxmlformats.org/officeDocument/2006/relationships/hyperlink" Target="https://www.youtube.com/watch?v=A6j1KcojG0E" TargetMode="External"/><Relationship Id="rId576" Type="http://schemas.openxmlformats.org/officeDocument/2006/relationships/hyperlink" Target="https://www.youtube.com/watch?v=61VsCIaQhX4" TargetMode="External"/><Relationship Id="rId741" Type="http://schemas.openxmlformats.org/officeDocument/2006/relationships/hyperlink" Target="https://www.youtube.com/watch?v=HmKETjjGv0E" TargetMode="External"/><Relationship Id="rId783" Type="http://schemas.openxmlformats.org/officeDocument/2006/relationships/hyperlink" Target="https://www.youtube.com/watch?v=-pTe3fDFF7U" TargetMode="External"/><Relationship Id="rId839" Type="http://schemas.openxmlformats.org/officeDocument/2006/relationships/hyperlink" Target="https://www.youtube.com/watch?v=edQr4IJQuEg" TargetMode="External"/><Relationship Id="rId173" Type="http://schemas.openxmlformats.org/officeDocument/2006/relationships/hyperlink" Target="https://www.youtube.com/embed/YFmL65VsWdk?start=1755&amp;end=1866&amp;autoplay=1" TargetMode="External"/><Relationship Id="rId229" Type="http://schemas.openxmlformats.org/officeDocument/2006/relationships/hyperlink" Target="https://www.youtube.com/embed/8RSu4ymCgp4?start=2335&amp;end=2525&amp;autoplay=1" TargetMode="External"/><Relationship Id="rId380" Type="http://schemas.openxmlformats.org/officeDocument/2006/relationships/hyperlink" Target="https://www.youtube.com/watch?v=dXkhbNnOMy0" TargetMode="External"/><Relationship Id="rId436" Type="http://schemas.openxmlformats.org/officeDocument/2006/relationships/hyperlink" Target="https://www.youtube.com/watch?v=srr9jTynwdo" TargetMode="External"/><Relationship Id="rId601" Type="http://schemas.openxmlformats.org/officeDocument/2006/relationships/hyperlink" Target="https://www.youtube.com/watch?v=kSNHRGhGt_Y" TargetMode="External"/><Relationship Id="rId643" Type="http://schemas.openxmlformats.org/officeDocument/2006/relationships/hyperlink" Target="https://www.youtube.com/watch?v=xAx9rKxKjCk" TargetMode="External"/><Relationship Id="rId240" Type="http://schemas.openxmlformats.org/officeDocument/2006/relationships/hyperlink" Target="https://www.youtube.com/embed/8RSu4ymCgp4?start=6100&amp;end=6184&amp;autoplay=1" TargetMode="External"/><Relationship Id="rId478" Type="http://schemas.openxmlformats.org/officeDocument/2006/relationships/hyperlink" Target="https://www.youtube.com/watch?v=hbcWYVaowqI" TargetMode="External"/><Relationship Id="rId685" Type="http://schemas.openxmlformats.org/officeDocument/2006/relationships/hyperlink" Target="https://www.youtube.com/watch?v=GCo89ggyUKw" TargetMode="External"/><Relationship Id="rId850" Type="http://schemas.openxmlformats.org/officeDocument/2006/relationships/hyperlink" Target="https://www.youtube.com/watch?v=kcbL1wC9PEg" TargetMode="External"/><Relationship Id="rId892" Type="http://schemas.openxmlformats.org/officeDocument/2006/relationships/hyperlink" Target="https://www.youtube.com/watch?v=3Pat7agSMJU&amp;t=22s" TargetMode="External"/><Relationship Id="rId906" Type="http://schemas.openxmlformats.org/officeDocument/2006/relationships/hyperlink" Target="https://www.youtube.com/watch?v=s4vjcCAXvVI" TargetMode="External"/><Relationship Id="rId35" Type="http://schemas.openxmlformats.org/officeDocument/2006/relationships/hyperlink" Target="https://www.youtube.com/embed/5LJPOCxc3E8?start=0&amp;end=131&amp;autoplay=1" TargetMode="External"/><Relationship Id="rId77" Type="http://schemas.openxmlformats.org/officeDocument/2006/relationships/hyperlink" Target="https://www.youtube.com/embed/ycnvyB8pDEM?start=395&amp;end=528&amp;autoplay=1" TargetMode="External"/><Relationship Id="rId100" Type="http://schemas.openxmlformats.org/officeDocument/2006/relationships/hyperlink" Target="https://www.youtube.com/watch?v=20u8yHim1tM" TargetMode="External"/><Relationship Id="rId282" Type="http://schemas.openxmlformats.org/officeDocument/2006/relationships/hyperlink" Target="https://www.youtube.com/watch?v=g-xyM5pVESg" TargetMode="External"/><Relationship Id="rId338" Type="http://schemas.openxmlformats.org/officeDocument/2006/relationships/hyperlink" Target="https://www.youtube.com/embed/cpZPvFvzNlc?start=2080&amp;end=2222&amp;autoplay=1" TargetMode="External"/><Relationship Id="rId503" Type="http://schemas.openxmlformats.org/officeDocument/2006/relationships/hyperlink" Target="https://www.youtube.com/watch?v=vEdOCEkdY9Q" TargetMode="External"/><Relationship Id="rId545" Type="http://schemas.openxmlformats.org/officeDocument/2006/relationships/hyperlink" Target="https://www.youtube.com/watch?v=G1vj3YNYQYg" TargetMode="External"/><Relationship Id="rId587" Type="http://schemas.openxmlformats.org/officeDocument/2006/relationships/hyperlink" Target="https://www.youtube.com/watch?v=inpmzGJn2LU" TargetMode="External"/><Relationship Id="rId710" Type="http://schemas.openxmlformats.org/officeDocument/2006/relationships/hyperlink" Target="https://www.youtube.com/watch?v=0ol6BUtHZu8" TargetMode="External"/><Relationship Id="rId752" Type="http://schemas.openxmlformats.org/officeDocument/2006/relationships/hyperlink" Target="https://www.youtube.com/watch?v=Qh0tc43apsI" TargetMode="External"/><Relationship Id="rId808" Type="http://schemas.openxmlformats.org/officeDocument/2006/relationships/hyperlink" Target="https://www.youtube.com/watch?v=Voaw-uef3Tw" TargetMode="External"/><Relationship Id="rId8" Type="http://schemas.openxmlformats.org/officeDocument/2006/relationships/hyperlink" Target="https://www.youtube.com/watch?v=mjFek0gF97s" TargetMode="External"/><Relationship Id="rId142" Type="http://schemas.openxmlformats.org/officeDocument/2006/relationships/hyperlink" Target="https://www.youtube.com/embed/ByaheAphduQ?start=2990&amp;end=3041&amp;autoplay=1" TargetMode="External"/><Relationship Id="rId184" Type="http://schemas.openxmlformats.org/officeDocument/2006/relationships/hyperlink" Target="https://www.youtube.com/watch?v=knJJGEYwaZw" TargetMode="External"/><Relationship Id="rId391" Type="http://schemas.openxmlformats.org/officeDocument/2006/relationships/hyperlink" Target="https://www.youtube.com/watch?v=Cs9JbmZ0poM" TargetMode="External"/><Relationship Id="rId405" Type="http://schemas.openxmlformats.org/officeDocument/2006/relationships/hyperlink" Target="https://www.youtube.com/watch?v=4gAHt9ki2xY" TargetMode="External"/><Relationship Id="rId447" Type="http://schemas.openxmlformats.org/officeDocument/2006/relationships/hyperlink" Target="https://www.youtube.com/watch?v=Uxcvh2BQu1g" TargetMode="External"/><Relationship Id="rId612" Type="http://schemas.openxmlformats.org/officeDocument/2006/relationships/hyperlink" Target="https://www.youtube.com/watch?v=dSKwv3KOvN8" TargetMode="External"/><Relationship Id="rId794" Type="http://schemas.openxmlformats.org/officeDocument/2006/relationships/hyperlink" Target="https://www.youtube.com/watch?v=6KN0GnYv6xQ" TargetMode="External"/><Relationship Id="rId251" Type="http://schemas.openxmlformats.org/officeDocument/2006/relationships/hyperlink" Target="https://www.youtube.com/embed/Vf5BOYF0S3Y?start=2530&amp;end=2670&amp;autoplay=1" TargetMode="External"/><Relationship Id="rId489" Type="http://schemas.openxmlformats.org/officeDocument/2006/relationships/hyperlink" Target="https://www.youtube.com/watch?v=7bZemcM70W0" TargetMode="External"/><Relationship Id="rId654" Type="http://schemas.openxmlformats.org/officeDocument/2006/relationships/hyperlink" Target="https://www.youtube.com/watch?v=s_eR4_6kip8" TargetMode="External"/><Relationship Id="rId696" Type="http://schemas.openxmlformats.org/officeDocument/2006/relationships/hyperlink" Target="https://www.youtube.com/watch?v=Y3j3g76ggFE" TargetMode="External"/><Relationship Id="rId861" Type="http://schemas.openxmlformats.org/officeDocument/2006/relationships/hyperlink" Target="https://www.youtube.com/watch?v=SNpVBfgzPmo" TargetMode="External"/><Relationship Id="rId917" Type="http://schemas.openxmlformats.org/officeDocument/2006/relationships/hyperlink" Target="https://www.youtube.com/watch?v=9QSUsKZfoQA&amp;t=156s" TargetMode="External"/><Relationship Id="rId46" Type="http://schemas.openxmlformats.org/officeDocument/2006/relationships/hyperlink" Target="https://www.youtube.com/embed/RdBz1kIwrqo?start=80&amp;end=258&amp;autoplay=1" TargetMode="External"/><Relationship Id="rId293" Type="http://schemas.openxmlformats.org/officeDocument/2006/relationships/hyperlink" Target="https://www.youtube.com/watch?v=OBViSvvLu-s" TargetMode="External"/><Relationship Id="rId307" Type="http://schemas.openxmlformats.org/officeDocument/2006/relationships/hyperlink" Target="https://www.youtube.com/watch?v=ucgD3lqwZX0" TargetMode="External"/><Relationship Id="rId349" Type="http://schemas.openxmlformats.org/officeDocument/2006/relationships/hyperlink" Target="https://www.youtube.com/watch?v=uNPifASaoFM" TargetMode="External"/><Relationship Id="rId514" Type="http://schemas.openxmlformats.org/officeDocument/2006/relationships/hyperlink" Target="https://www.youtube.com/watch?v=yp1ZVELrxIA" TargetMode="External"/><Relationship Id="rId556" Type="http://schemas.openxmlformats.org/officeDocument/2006/relationships/hyperlink" Target="https://www.youtube.com/watch?v=1VZl4rtt2aU" TargetMode="External"/><Relationship Id="rId721" Type="http://schemas.openxmlformats.org/officeDocument/2006/relationships/hyperlink" Target="https://www.youtube.com/watch?v=fZLoHeGF4XI" TargetMode="External"/><Relationship Id="rId763" Type="http://schemas.openxmlformats.org/officeDocument/2006/relationships/hyperlink" Target="https://www.youtube.com/watch?v=84agoVdaycE" TargetMode="External"/><Relationship Id="rId88" Type="http://schemas.openxmlformats.org/officeDocument/2006/relationships/hyperlink" Target="https://www.youtube.com/embed/6_9IYK6ZlyY?start=86&amp;end=188&amp;autoplay=1" TargetMode="External"/><Relationship Id="rId111" Type="http://schemas.openxmlformats.org/officeDocument/2006/relationships/hyperlink" Target="https://www.youtube.com/embed/8qjQH_-WzyE?start=411&amp;end=620&amp;autoplay=1" TargetMode="External"/><Relationship Id="rId153" Type="http://schemas.openxmlformats.org/officeDocument/2006/relationships/hyperlink" Target="https://www.youtube.com/watch?v=-3rtVbNkNNQ" TargetMode="External"/><Relationship Id="rId195" Type="http://schemas.openxmlformats.org/officeDocument/2006/relationships/hyperlink" Target="https://www.youtube.com/embed/G3NpQQMh8jQ?start=241&amp;end=343&amp;autoplay=1" TargetMode="External"/><Relationship Id="rId209" Type="http://schemas.openxmlformats.org/officeDocument/2006/relationships/hyperlink" Target="https://www.youtube.com/embed/fjD9BVlmPoA?start=4080&amp;end=4270&amp;autoplay=1" TargetMode="External"/><Relationship Id="rId360" Type="http://schemas.openxmlformats.org/officeDocument/2006/relationships/hyperlink" Target="https://www.youtube.com/watch?v=ja-cxuo3ugc" TargetMode="External"/><Relationship Id="rId416" Type="http://schemas.openxmlformats.org/officeDocument/2006/relationships/hyperlink" Target="https://www.youtube.com/watch?v=6oKx_bFPSSA" TargetMode="External"/><Relationship Id="rId598" Type="http://schemas.openxmlformats.org/officeDocument/2006/relationships/hyperlink" Target="https://www.youtube.com/watch?v=o-395A-OrOQ" TargetMode="External"/><Relationship Id="rId819" Type="http://schemas.openxmlformats.org/officeDocument/2006/relationships/hyperlink" Target="https://www.youtube.com/watch?v=qzXGb7RIXmc" TargetMode="External"/><Relationship Id="rId220" Type="http://schemas.openxmlformats.org/officeDocument/2006/relationships/hyperlink" Target="https://www.youtube.com/watch?v=nmbYnYYpa6g" TargetMode="External"/><Relationship Id="rId458" Type="http://schemas.openxmlformats.org/officeDocument/2006/relationships/hyperlink" Target="https://www.youtube.com/watch?v=FrXBeS9Vj40" TargetMode="External"/><Relationship Id="rId623" Type="http://schemas.openxmlformats.org/officeDocument/2006/relationships/hyperlink" Target="https://www.youtube.com/watch?v=9VsQzAI5PLo" TargetMode="External"/><Relationship Id="rId665" Type="http://schemas.openxmlformats.org/officeDocument/2006/relationships/hyperlink" Target="https://www.youtube.com/watch?v=v2dy-2T9kRE" TargetMode="External"/><Relationship Id="rId830" Type="http://schemas.openxmlformats.org/officeDocument/2006/relationships/hyperlink" Target="https://www.youtube.com/watch?v=rt5w2HzSWc0" TargetMode="External"/><Relationship Id="rId872" Type="http://schemas.openxmlformats.org/officeDocument/2006/relationships/hyperlink" Target="https://www.youtube.com/watch?v=wKoUB00RmE0" TargetMode="External"/><Relationship Id="rId928" Type="http://schemas.openxmlformats.org/officeDocument/2006/relationships/hyperlink" Target="https://www.youtube.com/embed/79r5KYH0nBI?start=2282&amp;end=2513&amp;autoplay=1" TargetMode="External"/><Relationship Id="rId15" Type="http://schemas.openxmlformats.org/officeDocument/2006/relationships/hyperlink" Target="https://www.youtube.com/watch?v=KVDRl_wLqdM" TargetMode="External"/><Relationship Id="rId57" Type="http://schemas.openxmlformats.org/officeDocument/2006/relationships/hyperlink" Target="https://www.youtube.com/embed/C3_6Ub1GnfA?start=211&amp;end=430&amp;autoplay=1" TargetMode="External"/><Relationship Id="rId262" Type="http://schemas.openxmlformats.org/officeDocument/2006/relationships/hyperlink" Target="https://www.youtube.com/watch?v=CtiARMXwI0Q" TargetMode="External"/><Relationship Id="rId318" Type="http://schemas.openxmlformats.org/officeDocument/2006/relationships/hyperlink" Target="https://www.youtube.com/watch?v=itgdRwuvtN0" TargetMode="External"/><Relationship Id="rId525" Type="http://schemas.openxmlformats.org/officeDocument/2006/relationships/hyperlink" Target="https://www.youtube.com/watch?v=ZpdQsUkjwMc" TargetMode="External"/><Relationship Id="rId567" Type="http://schemas.openxmlformats.org/officeDocument/2006/relationships/hyperlink" Target="https://www.youtube.com/watch?v=AcHVZjv6cAs" TargetMode="External"/><Relationship Id="rId732" Type="http://schemas.openxmlformats.org/officeDocument/2006/relationships/hyperlink" Target="https://www.youtube.com/watch?v=BKG8mWyOvuw" TargetMode="External"/><Relationship Id="rId99" Type="http://schemas.openxmlformats.org/officeDocument/2006/relationships/hyperlink" Target="https://www.youtube.com/embed/FndfcBhZklU?start=0&amp;end=360&amp;autoplay=1" TargetMode="External"/><Relationship Id="rId122" Type="http://schemas.openxmlformats.org/officeDocument/2006/relationships/hyperlink" Target="https://www.youtube.com/embed/f-MLHIb4dFU?start=625&amp;end=715&amp;autoplay=1" TargetMode="External"/><Relationship Id="rId164" Type="http://schemas.openxmlformats.org/officeDocument/2006/relationships/hyperlink" Target="https://www.youtube.com/watch?v=YFmL65VsWdk" TargetMode="External"/><Relationship Id="rId371" Type="http://schemas.openxmlformats.org/officeDocument/2006/relationships/hyperlink" Target="https://www.youtube.com/watch?v=zVH1ZOi2_yk" TargetMode="External"/><Relationship Id="rId774" Type="http://schemas.openxmlformats.org/officeDocument/2006/relationships/hyperlink" Target="https://www.youtube.com/watch?v=9hi4MG3BU0Y" TargetMode="External"/><Relationship Id="rId427" Type="http://schemas.openxmlformats.org/officeDocument/2006/relationships/hyperlink" Target="https://www.youtube.com/watch?v=zyTsxv3NJzA" TargetMode="External"/><Relationship Id="rId469" Type="http://schemas.openxmlformats.org/officeDocument/2006/relationships/hyperlink" Target="https://www.youtube.com/watch?v=2RlQdQoP4mE" TargetMode="External"/><Relationship Id="rId634" Type="http://schemas.openxmlformats.org/officeDocument/2006/relationships/hyperlink" Target="https://www.youtube.com/watch?v=GB9g4sKWR0M" TargetMode="External"/><Relationship Id="rId676" Type="http://schemas.openxmlformats.org/officeDocument/2006/relationships/hyperlink" Target="https://www.youtube.com/watch?v=wu_ONpNjikY" TargetMode="External"/><Relationship Id="rId841" Type="http://schemas.openxmlformats.org/officeDocument/2006/relationships/hyperlink" Target="https://www.youtube.com/watch?v=BlNY-1vmqvA" TargetMode="External"/><Relationship Id="rId883" Type="http://schemas.openxmlformats.org/officeDocument/2006/relationships/hyperlink" Target="https://www.youtube.com/watch?v=Ul-faWS75vA" TargetMode="External"/><Relationship Id="rId26" Type="http://schemas.openxmlformats.org/officeDocument/2006/relationships/hyperlink" Target="https://www.youtube.com/watch?v=DMG2XD9_nTI" TargetMode="External"/><Relationship Id="rId231" Type="http://schemas.openxmlformats.org/officeDocument/2006/relationships/hyperlink" Target="https://www.youtube.com/embed/8RSu4ymCgp4?start=2650&amp;end=2770&amp;autoplay=1" TargetMode="External"/><Relationship Id="rId273" Type="http://schemas.openxmlformats.org/officeDocument/2006/relationships/hyperlink" Target="https://www.youtube.com/watch?v=vSLKEwGRgbY" TargetMode="External"/><Relationship Id="rId329" Type="http://schemas.openxmlformats.org/officeDocument/2006/relationships/hyperlink" Target="https://www.youtube.com/watch?v=17Jnr2hr0ro" TargetMode="External"/><Relationship Id="rId480" Type="http://schemas.openxmlformats.org/officeDocument/2006/relationships/hyperlink" Target="https://www.youtube.com/watch?v=fwbLw9W9GC8" TargetMode="External"/><Relationship Id="rId536" Type="http://schemas.openxmlformats.org/officeDocument/2006/relationships/hyperlink" Target="https://www.youtube.com/watch?v=dJ9wpyiJSSI" TargetMode="External"/><Relationship Id="rId701" Type="http://schemas.openxmlformats.org/officeDocument/2006/relationships/hyperlink" Target="https://www.youtube.com/watch?v=Wr_CIMPuH3I" TargetMode="External"/><Relationship Id="rId68" Type="http://schemas.openxmlformats.org/officeDocument/2006/relationships/hyperlink" Target="https://www.youtube.com/embed/lzMEDrUFlpw?start=0&amp;end=368&amp;autoplay=1" TargetMode="External"/><Relationship Id="rId133" Type="http://schemas.openxmlformats.org/officeDocument/2006/relationships/hyperlink" Target="https://www.youtube.com/embed/ByaheAphduQ?start=1282&amp;end=1410&amp;autoplay=1" TargetMode="External"/><Relationship Id="rId175" Type="http://schemas.openxmlformats.org/officeDocument/2006/relationships/hyperlink" Target="https://www.youtube.com/embed/YFmL65VsWdk?start=2525&amp;end=2800&amp;autoplay=1" TargetMode="External"/><Relationship Id="rId340" Type="http://schemas.openxmlformats.org/officeDocument/2006/relationships/hyperlink" Target="https://www.youtube.com/embed/cpZPvFvzNlc?start=3702&amp;end=3876&amp;autoplay=1" TargetMode="External"/><Relationship Id="rId578" Type="http://schemas.openxmlformats.org/officeDocument/2006/relationships/hyperlink" Target="https://www.youtube.com/watch?v=bF-3L4O8Nq8" TargetMode="External"/><Relationship Id="rId743" Type="http://schemas.openxmlformats.org/officeDocument/2006/relationships/hyperlink" Target="https://www.youtube.com/watch?v=B1KtIwSP4_U" TargetMode="External"/><Relationship Id="rId785" Type="http://schemas.openxmlformats.org/officeDocument/2006/relationships/hyperlink" Target="https://www.youtube.com/watch?v=b96t52xbmO8" TargetMode="External"/><Relationship Id="rId200" Type="http://schemas.openxmlformats.org/officeDocument/2006/relationships/hyperlink" Target="https://www.youtube.com/embed/G3NpQQMh8jQ?start=1461&amp;end=1924&amp;autoplay=1" TargetMode="External"/><Relationship Id="rId382" Type="http://schemas.openxmlformats.org/officeDocument/2006/relationships/hyperlink" Target="https://www.youtube.com/watch?v=mLEhBqCBBYE" TargetMode="External"/><Relationship Id="rId438" Type="http://schemas.openxmlformats.org/officeDocument/2006/relationships/hyperlink" Target="https://www.youtube.com/watch?v=AuVaei10Du0" TargetMode="External"/><Relationship Id="rId603" Type="http://schemas.openxmlformats.org/officeDocument/2006/relationships/hyperlink" Target="https://www.youtube.com/watch?v=glBt8I5y1b8" TargetMode="External"/><Relationship Id="rId645" Type="http://schemas.openxmlformats.org/officeDocument/2006/relationships/hyperlink" Target="https://www.youtube.com/watch?v=9oRLNbl-DxI" TargetMode="External"/><Relationship Id="rId687" Type="http://schemas.openxmlformats.org/officeDocument/2006/relationships/hyperlink" Target="https://www.youtube.com/watch?v=aRzq_l_Rmcc" TargetMode="External"/><Relationship Id="rId810" Type="http://schemas.openxmlformats.org/officeDocument/2006/relationships/hyperlink" Target="https://www.youtube.com/watch?v=n5lHU4Qyfbk" TargetMode="External"/><Relationship Id="rId852" Type="http://schemas.openxmlformats.org/officeDocument/2006/relationships/hyperlink" Target="https://www.youtube.com/watch?v=0RYS6V76lRQ" TargetMode="External"/><Relationship Id="rId908" Type="http://schemas.openxmlformats.org/officeDocument/2006/relationships/hyperlink" Target="https://www.youtube.com/watch?v=c50rfZlrNXU" TargetMode="External"/><Relationship Id="rId242" Type="http://schemas.openxmlformats.org/officeDocument/2006/relationships/hyperlink" Target="https://www.youtube.com/watch?v=MOkWSa69NKA" TargetMode="External"/><Relationship Id="rId284" Type="http://schemas.openxmlformats.org/officeDocument/2006/relationships/hyperlink" Target="https://www.youtube.com/watch?v=3f7b_ZE5B1Y" TargetMode="External"/><Relationship Id="rId491" Type="http://schemas.openxmlformats.org/officeDocument/2006/relationships/hyperlink" Target="https://www.youtube.com/watch?v=322EiuTqg7w" TargetMode="External"/><Relationship Id="rId505" Type="http://schemas.openxmlformats.org/officeDocument/2006/relationships/hyperlink" Target="https://www.youtube.com/watch?v=Uk3mD3cAFXg" TargetMode="External"/><Relationship Id="rId712" Type="http://schemas.openxmlformats.org/officeDocument/2006/relationships/hyperlink" Target="https://www.youtube.com/watch?v=Zr29r9gnq6A" TargetMode="External"/><Relationship Id="rId894" Type="http://schemas.openxmlformats.org/officeDocument/2006/relationships/hyperlink" Target="https://www.youtube.com/watch?v=h4ZgKKlmUl0&amp;t=481s" TargetMode="External"/><Relationship Id="rId37" Type="http://schemas.openxmlformats.org/officeDocument/2006/relationships/hyperlink" Target="https://www.youtube.com/embed/5LJPOCxc3E8?start=358&amp;end=639&amp;autoplay=1" TargetMode="External"/><Relationship Id="rId79" Type="http://schemas.openxmlformats.org/officeDocument/2006/relationships/hyperlink" Target="https://www.youtube.com/watch?v=xANxZaCCD70" TargetMode="External"/><Relationship Id="rId102" Type="http://schemas.openxmlformats.org/officeDocument/2006/relationships/hyperlink" Target="https://www.youtube.com/watch?v=K9s433rQloA" TargetMode="External"/><Relationship Id="rId144" Type="http://schemas.openxmlformats.org/officeDocument/2006/relationships/hyperlink" Target="https://www.youtube.com/watch?v=QZxRsM9xvK4" TargetMode="External"/><Relationship Id="rId547" Type="http://schemas.openxmlformats.org/officeDocument/2006/relationships/hyperlink" Target="https://www.youtube.com/watch?v=yB7P6V4_zUw" TargetMode="External"/><Relationship Id="rId589" Type="http://schemas.openxmlformats.org/officeDocument/2006/relationships/hyperlink" Target="https://www.youtube.com/watch?v=aASsLwbe6kY" TargetMode="External"/><Relationship Id="rId754" Type="http://schemas.openxmlformats.org/officeDocument/2006/relationships/hyperlink" Target="https://www.youtube.com/watch?v=MqvZxu1TaSQ" TargetMode="External"/><Relationship Id="rId796" Type="http://schemas.openxmlformats.org/officeDocument/2006/relationships/hyperlink" Target="https://www.youtube.com/watch?v=OdRuRzl5pwg" TargetMode="External"/><Relationship Id="rId90" Type="http://schemas.openxmlformats.org/officeDocument/2006/relationships/hyperlink" Target="https://www.youtube.com/embed/6_9IYK6ZlyY?start=316&amp;end=476&amp;autoplay=1" TargetMode="External"/><Relationship Id="rId186" Type="http://schemas.openxmlformats.org/officeDocument/2006/relationships/hyperlink" Target="https://www.youtube.com/watch?v=TEUt7CVuFbI" TargetMode="External"/><Relationship Id="rId351" Type="http://schemas.openxmlformats.org/officeDocument/2006/relationships/hyperlink" Target="https://www.youtube.com/watch?v=yIUwgFjMrg8" TargetMode="External"/><Relationship Id="rId393" Type="http://schemas.openxmlformats.org/officeDocument/2006/relationships/hyperlink" Target="https://www.youtube.com/watch?v=QfYz6BBYpWg" TargetMode="External"/><Relationship Id="rId407" Type="http://schemas.openxmlformats.org/officeDocument/2006/relationships/hyperlink" Target="https://www.youtube.com/watch?v=1_8y5fSSOlE" TargetMode="External"/><Relationship Id="rId449" Type="http://schemas.openxmlformats.org/officeDocument/2006/relationships/hyperlink" Target="https://www.youtube.com/watch?v=j84sUcOTBRM" TargetMode="External"/><Relationship Id="rId614" Type="http://schemas.openxmlformats.org/officeDocument/2006/relationships/hyperlink" Target="https://www.youtube.com/watch?v=LEotomBnsQk" TargetMode="External"/><Relationship Id="rId656" Type="http://schemas.openxmlformats.org/officeDocument/2006/relationships/hyperlink" Target="https://www.youtube.com/watch?v=CLCX0mlWjw0" TargetMode="External"/><Relationship Id="rId821" Type="http://schemas.openxmlformats.org/officeDocument/2006/relationships/hyperlink" Target="https://www.youtube.com/watch?v=C6sAuCIhIzA" TargetMode="External"/><Relationship Id="rId863" Type="http://schemas.openxmlformats.org/officeDocument/2006/relationships/hyperlink" Target="https://www.youtube.com/watch?v=g8GW7DlPr4g" TargetMode="External"/><Relationship Id="rId211" Type="http://schemas.openxmlformats.org/officeDocument/2006/relationships/hyperlink" Target="https://www.youtube.com/embed/fjD9BVlmPoA?start=4645&amp;end=4881&amp;autoplay=1" TargetMode="External"/><Relationship Id="rId253" Type="http://schemas.openxmlformats.org/officeDocument/2006/relationships/hyperlink" Target="https://www.youtube.com/embed/Vf5BOYF0S3Y?start=3210&amp;end=3450&amp;autoplay=1" TargetMode="External"/><Relationship Id="rId295" Type="http://schemas.openxmlformats.org/officeDocument/2006/relationships/hyperlink" Target="https://www.youtube.com/watch?v=vdwHHPZwNEo" TargetMode="External"/><Relationship Id="rId309" Type="http://schemas.openxmlformats.org/officeDocument/2006/relationships/hyperlink" Target="https://www.youtube.com/watch?v=d9KgrM48iGg" TargetMode="External"/><Relationship Id="rId460" Type="http://schemas.openxmlformats.org/officeDocument/2006/relationships/hyperlink" Target="https://www.youtube.com/watch?v=fyMRRD_YeRI" TargetMode="External"/><Relationship Id="rId516" Type="http://schemas.openxmlformats.org/officeDocument/2006/relationships/hyperlink" Target="https://www.youtube.com/watch?v=hPD7CW4JiSA" TargetMode="External"/><Relationship Id="rId698" Type="http://schemas.openxmlformats.org/officeDocument/2006/relationships/hyperlink" Target="https://www.youtube.com/watch?v=WzACbsbv3Mc" TargetMode="External"/><Relationship Id="rId919" Type="http://schemas.openxmlformats.org/officeDocument/2006/relationships/hyperlink" Target="https://www.youtube.com/embed/79r5KYH0nBI?start=53&amp;end=136&amp;autoplay=1" TargetMode="External"/><Relationship Id="rId48" Type="http://schemas.openxmlformats.org/officeDocument/2006/relationships/hyperlink" Target="https://www.youtube.com/embed/RdBz1kIwrqo?start=563&amp;end=646&amp;autoplay=1" TargetMode="External"/><Relationship Id="rId113" Type="http://schemas.openxmlformats.org/officeDocument/2006/relationships/hyperlink" Target="https://www.youtube.com/watch?v=vHWsmGyjOk0" TargetMode="External"/><Relationship Id="rId320" Type="http://schemas.openxmlformats.org/officeDocument/2006/relationships/hyperlink" Target="https://www.youtube.com/watch?v=UuJzHq-Ont4" TargetMode="External"/><Relationship Id="rId558" Type="http://schemas.openxmlformats.org/officeDocument/2006/relationships/hyperlink" Target="https://www.youtube.com/watch?v=BNly0XIZX6c" TargetMode="External"/><Relationship Id="rId723" Type="http://schemas.openxmlformats.org/officeDocument/2006/relationships/hyperlink" Target="https://www.youtube.com/watch?v=8M2LUwJGwHw" TargetMode="External"/><Relationship Id="rId765" Type="http://schemas.openxmlformats.org/officeDocument/2006/relationships/hyperlink" Target="https://www.youtube.com/watch?v=0gtyqapBB3A" TargetMode="External"/><Relationship Id="rId930" Type="http://schemas.openxmlformats.org/officeDocument/2006/relationships/hyperlink" Target="https://www.youtube.com/embed/79r5KYH0nBI?start=2700&amp;end=2698&amp;autoplay=1" TargetMode="External"/><Relationship Id="rId155" Type="http://schemas.openxmlformats.org/officeDocument/2006/relationships/hyperlink" Target="https://www.youtube.com/watch?v=28dLjjiriJA" TargetMode="External"/><Relationship Id="rId197" Type="http://schemas.openxmlformats.org/officeDocument/2006/relationships/hyperlink" Target="https://www.youtube.com/embed/G3NpQQMh8jQ?start=903&amp;end=1125&amp;autoplay=1" TargetMode="External"/><Relationship Id="rId362" Type="http://schemas.openxmlformats.org/officeDocument/2006/relationships/hyperlink" Target="https://www.youtube.com/watch?v=9IzjjqFO5c8" TargetMode="External"/><Relationship Id="rId418" Type="http://schemas.openxmlformats.org/officeDocument/2006/relationships/hyperlink" Target="https://www.youtube.com/watch?v=_xIbCmTtK8s" TargetMode="External"/><Relationship Id="rId625" Type="http://schemas.openxmlformats.org/officeDocument/2006/relationships/hyperlink" Target="https://www.youtube.com/watch?v=fmVDyQnLFe4" TargetMode="External"/><Relationship Id="rId832" Type="http://schemas.openxmlformats.org/officeDocument/2006/relationships/hyperlink" Target="https://www.youtube.com/watch?v=lkDfIrZy2VY" TargetMode="External"/><Relationship Id="rId222" Type="http://schemas.openxmlformats.org/officeDocument/2006/relationships/hyperlink" Target="https://www.youtube.com/watch?v=8RSu4ymCgp4" TargetMode="External"/><Relationship Id="rId264" Type="http://schemas.openxmlformats.org/officeDocument/2006/relationships/hyperlink" Target="https://www.youtube.com/watch?v=nQhpJFt2KG8" TargetMode="External"/><Relationship Id="rId471" Type="http://schemas.openxmlformats.org/officeDocument/2006/relationships/hyperlink" Target="https://www.youtube.com/watch?v=t5AEphve0P8" TargetMode="External"/><Relationship Id="rId667" Type="http://schemas.openxmlformats.org/officeDocument/2006/relationships/hyperlink" Target="https://www.youtube.com/watch?v=8Fyp5gw_HGc&amp;t=19s" TargetMode="External"/><Relationship Id="rId874" Type="http://schemas.openxmlformats.org/officeDocument/2006/relationships/hyperlink" Target="https://www.youtube.com/watch?v=Ts09Fp7M53k" TargetMode="External"/><Relationship Id="rId17" Type="http://schemas.openxmlformats.org/officeDocument/2006/relationships/hyperlink" Target="https://www.youtube.com/watch?v=iBwpK4_JtEw" TargetMode="External"/><Relationship Id="rId59" Type="http://schemas.openxmlformats.org/officeDocument/2006/relationships/hyperlink" Target="https://www.youtube.com/embed/C3_6Ub1GnfA?start=538&amp;end=589&amp;autoplay=1" TargetMode="External"/><Relationship Id="rId124" Type="http://schemas.openxmlformats.org/officeDocument/2006/relationships/hyperlink" Target="https://www.youtube.com/watch?v=QWaXqmcxm94" TargetMode="External"/><Relationship Id="rId527" Type="http://schemas.openxmlformats.org/officeDocument/2006/relationships/hyperlink" Target="https://www.youtube.com/watch?v=w2e5eqI49cE" TargetMode="External"/><Relationship Id="rId569" Type="http://schemas.openxmlformats.org/officeDocument/2006/relationships/hyperlink" Target="https://www.youtube.com/watch?v=GDQ-FTObhak" TargetMode="External"/><Relationship Id="rId734" Type="http://schemas.openxmlformats.org/officeDocument/2006/relationships/hyperlink" Target="https://www.youtube.com/watch?v=BsEY7XJTv70" TargetMode="External"/><Relationship Id="rId776" Type="http://schemas.openxmlformats.org/officeDocument/2006/relationships/hyperlink" Target="https://www.youtube.com/watch?v=XWeFa6jUiPw" TargetMode="External"/><Relationship Id="rId70" Type="http://schemas.openxmlformats.org/officeDocument/2006/relationships/hyperlink" Target="https://www.youtube.com/embed/lzMEDrUFlpw?start=542&amp;end=659&amp;autoplay=1" TargetMode="External"/><Relationship Id="rId166" Type="http://schemas.openxmlformats.org/officeDocument/2006/relationships/hyperlink" Target="https://www.youtube.com/embed/YFmL65VsWdk?start=413&amp;end=474&amp;autoplay=1" TargetMode="External"/><Relationship Id="rId331" Type="http://schemas.openxmlformats.org/officeDocument/2006/relationships/hyperlink" Target="https://www.youtube.com/watch?v=cpZPvFvzNlc" TargetMode="External"/><Relationship Id="rId373" Type="http://schemas.openxmlformats.org/officeDocument/2006/relationships/hyperlink" Target="https://www.youtube.com/watch?v=AOQPqjRx-0c" TargetMode="External"/><Relationship Id="rId429" Type="http://schemas.openxmlformats.org/officeDocument/2006/relationships/hyperlink" Target="https://www.youtube.com/watch?v=R_G2Gd70LiY" TargetMode="External"/><Relationship Id="rId580" Type="http://schemas.openxmlformats.org/officeDocument/2006/relationships/hyperlink" Target="https://www.youtube.com/watch?v=KXamV4OZjYs" TargetMode="External"/><Relationship Id="rId636" Type="http://schemas.openxmlformats.org/officeDocument/2006/relationships/hyperlink" Target="https://www.youtube.com/watch?v=VDqAX3plBww" TargetMode="External"/><Relationship Id="rId801" Type="http://schemas.openxmlformats.org/officeDocument/2006/relationships/hyperlink" Target="https://www.youtube.com/watch?v=5Qbkf3waru8" TargetMode="External"/><Relationship Id="rId1" Type="http://schemas.openxmlformats.org/officeDocument/2006/relationships/hyperlink" Target="https://www.youtube.com/watch?v=RD7JpM4UrUA" TargetMode="External"/><Relationship Id="rId233" Type="http://schemas.openxmlformats.org/officeDocument/2006/relationships/hyperlink" Target="https://www.youtube.com/embed/8RSu4ymCgp4?start=3260&amp;end=3390&amp;autoplay=1" TargetMode="External"/><Relationship Id="rId440" Type="http://schemas.openxmlformats.org/officeDocument/2006/relationships/hyperlink" Target="https://www.youtube.com/watch?v=FKg_FjS3qZw" TargetMode="External"/><Relationship Id="rId678" Type="http://schemas.openxmlformats.org/officeDocument/2006/relationships/hyperlink" Target="https://www.youtube.com/watch?v=S9RImbEoWYA" TargetMode="External"/><Relationship Id="rId843" Type="http://schemas.openxmlformats.org/officeDocument/2006/relationships/hyperlink" Target="https://www.youtube.com/watch?v=iwaHs0-q9l8" TargetMode="External"/><Relationship Id="rId885" Type="http://schemas.openxmlformats.org/officeDocument/2006/relationships/hyperlink" Target="https://www.youtube.com/watch?v=4ej2lqB-kjM" TargetMode="External"/><Relationship Id="rId28" Type="http://schemas.openxmlformats.org/officeDocument/2006/relationships/hyperlink" Target="https://www.youtube.com/embed/Uq2PJjcHiqI?start=0&amp;end=102&amp;autoplay=1" TargetMode="External"/><Relationship Id="rId275" Type="http://schemas.openxmlformats.org/officeDocument/2006/relationships/hyperlink" Target="https://www.youtube.com/watch?v=qDcBHNXLxdc" TargetMode="External"/><Relationship Id="rId300" Type="http://schemas.openxmlformats.org/officeDocument/2006/relationships/hyperlink" Target="https://www.youtube.com/watch?v=sdhISUDYvX4" TargetMode="External"/><Relationship Id="rId482" Type="http://schemas.openxmlformats.org/officeDocument/2006/relationships/hyperlink" Target="https://www.youtube.com/watch?v=tD7VxQAIPLM" TargetMode="External"/><Relationship Id="rId538" Type="http://schemas.openxmlformats.org/officeDocument/2006/relationships/hyperlink" Target="https://www.youtube.com/watch?v=AjEKOFHh4yM" TargetMode="External"/><Relationship Id="rId703" Type="http://schemas.openxmlformats.org/officeDocument/2006/relationships/hyperlink" Target="https://www.youtube.com/watch?v=N20dY0-9Nio" TargetMode="External"/><Relationship Id="rId745" Type="http://schemas.openxmlformats.org/officeDocument/2006/relationships/hyperlink" Target="https://www.youtube.com/watch?v=sGXLoCpynsU" TargetMode="External"/><Relationship Id="rId910" Type="http://schemas.openxmlformats.org/officeDocument/2006/relationships/hyperlink" Target="https://www.youtube.com/watch?v=DL5cLBZou3I" TargetMode="External"/><Relationship Id="rId81" Type="http://schemas.openxmlformats.org/officeDocument/2006/relationships/hyperlink" Target="https://www.youtube.com/embed/xANxZaCCD70?start=318&amp;end=438&amp;autoplay=1" TargetMode="External"/><Relationship Id="rId135" Type="http://schemas.openxmlformats.org/officeDocument/2006/relationships/hyperlink" Target="https://www.youtube.com/embed/ByaheAphduQ?start=1684&amp;end=1790&amp;autoplay=1" TargetMode="External"/><Relationship Id="rId177" Type="http://schemas.openxmlformats.org/officeDocument/2006/relationships/hyperlink" Target="https://www.youtube.com/watch?v=y1fdkGgCt64" TargetMode="External"/><Relationship Id="rId342" Type="http://schemas.openxmlformats.org/officeDocument/2006/relationships/hyperlink" Target="https://www.youtube.com/watch?v=qsCWK-TQVsk" TargetMode="External"/><Relationship Id="rId384" Type="http://schemas.openxmlformats.org/officeDocument/2006/relationships/hyperlink" Target="https://www.youtube.com/watch?v=kmJLZRzZhUA" TargetMode="External"/><Relationship Id="rId591" Type="http://schemas.openxmlformats.org/officeDocument/2006/relationships/hyperlink" Target="https://www.youtube.com/watch?v=PWZrF-TGsWo" TargetMode="External"/><Relationship Id="rId605" Type="http://schemas.openxmlformats.org/officeDocument/2006/relationships/hyperlink" Target="https://www.youtube.com/watch?v=Kfqplhug-eA" TargetMode="External"/><Relationship Id="rId787" Type="http://schemas.openxmlformats.org/officeDocument/2006/relationships/hyperlink" Target="https://www.youtube.com/watch?v=LAZPY_rTJLU" TargetMode="External"/><Relationship Id="rId812" Type="http://schemas.openxmlformats.org/officeDocument/2006/relationships/hyperlink" Target="https://www.youtube.com/watch?v=9FgUTz996bs" TargetMode="External"/><Relationship Id="rId202" Type="http://schemas.openxmlformats.org/officeDocument/2006/relationships/hyperlink" Target="https://www.youtube.com/watch?v=0uPW7Jf9y7o" TargetMode="External"/><Relationship Id="rId244" Type="http://schemas.openxmlformats.org/officeDocument/2006/relationships/hyperlink" Target="https://www.youtube.com/watch?v=tUBrwCmKx8s" TargetMode="External"/><Relationship Id="rId647" Type="http://schemas.openxmlformats.org/officeDocument/2006/relationships/hyperlink" Target="https://www.youtube.com/watch?v=G2ke7Higm-Y" TargetMode="External"/><Relationship Id="rId689" Type="http://schemas.openxmlformats.org/officeDocument/2006/relationships/hyperlink" Target="https://www.youtube.com/watch?v=ozdJ_kTaZcc" TargetMode="External"/><Relationship Id="rId854" Type="http://schemas.openxmlformats.org/officeDocument/2006/relationships/hyperlink" Target="https://www.youtube.com/watch?v=7AYmPqY5iF4" TargetMode="External"/><Relationship Id="rId896" Type="http://schemas.openxmlformats.org/officeDocument/2006/relationships/hyperlink" Target="https://www.youtube.com/watch?v=aPfBxS4huSc" TargetMode="External"/><Relationship Id="rId39" Type="http://schemas.openxmlformats.org/officeDocument/2006/relationships/hyperlink" Target="https://www.youtube.com/embed/LdrmgXtd_rs?start=123&amp;end=169&amp;autoplay=1" TargetMode="External"/><Relationship Id="rId286" Type="http://schemas.openxmlformats.org/officeDocument/2006/relationships/hyperlink" Target="https://www.youtube.com/watch?v=hWBzG7eVqVg" TargetMode="External"/><Relationship Id="rId451" Type="http://schemas.openxmlformats.org/officeDocument/2006/relationships/hyperlink" Target="https://www.youtube.com/watch?v=zILqg37PouM" TargetMode="External"/><Relationship Id="rId493" Type="http://schemas.openxmlformats.org/officeDocument/2006/relationships/hyperlink" Target="https://www.youtube.com/watch?v=3eTjsY7w5kM" TargetMode="External"/><Relationship Id="rId507" Type="http://schemas.openxmlformats.org/officeDocument/2006/relationships/hyperlink" Target="https://www.youtube.com/watch?v=7cA62ZHlWx0" TargetMode="External"/><Relationship Id="rId549" Type="http://schemas.openxmlformats.org/officeDocument/2006/relationships/hyperlink" Target="https://www.youtube.com/watch?v=hFK3wIxZt3g" TargetMode="External"/><Relationship Id="rId714" Type="http://schemas.openxmlformats.org/officeDocument/2006/relationships/hyperlink" Target="https://www.youtube.com/watch?v=R6bvpvI1_uY" TargetMode="External"/><Relationship Id="rId756" Type="http://schemas.openxmlformats.org/officeDocument/2006/relationships/hyperlink" Target="https://www.youtube.com/watch?v=YtD-Ro9OJRQ" TargetMode="External"/><Relationship Id="rId921" Type="http://schemas.openxmlformats.org/officeDocument/2006/relationships/hyperlink" Target="https://www.youtube.com/embed/79r5KYH0nBI?start=408&amp;end=495&amp;autoplay=1" TargetMode="External"/><Relationship Id="rId50" Type="http://schemas.openxmlformats.org/officeDocument/2006/relationships/hyperlink" Target="https://www.youtube.com/watch?v=N0PD3TuLvoo" TargetMode="External"/><Relationship Id="rId104" Type="http://schemas.openxmlformats.org/officeDocument/2006/relationships/hyperlink" Target="https://www.youtube.com/embed/QEUeYDEFtsE?start=0&amp;end=284&amp;autoplay=1" TargetMode="External"/><Relationship Id="rId146" Type="http://schemas.openxmlformats.org/officeDocument/2006/relationships/hyperlink" Target="https://www.youtube.com/embed/s3LVHHEe2vc?start=252&amp;end=360&amp;autoplay=1" TargetMode="External"/><Relationship Id="rId188" Type="http://schemas.openxmlformats.org/officeDocument/2006/relationships/hyperlink" Target="https://www.youtube.com/watch?v=f-XdG6v-RWk" TargetMode="External"/><Relationship Id="rId311" Type="http://schemas.openxmlformats.org/officeDocument/2006/relationships/hyperlink" Target="https://www.youtube.com/watch?v=2uOiM67vK6A" TargetMode="External"/><Relationship Id="rId353" Type="http://schemas.openxmlformats.org/officeDocument/2006/relationships/hyperlink" Target="https://www.youtube.com/watch?v=EWnc9FdyP7s" TargetMode="External"/><Relationship Id="rId395" Type="http://schemas.openxmlformats.org/officeDocument/2006/relationships/hyperlink" Target="https://www.youtube.com/watch?v=iY88UCitwGY" TargetMode="External"/><Relationship Id="rId409" Type="http://schemas.openxmlformats.org/officeDocument/2006/relationships/hyperlink" Target="https://www.youtube.com/watch?v=R2XPp4eJXLk" TargetMode="External"/><Relationship Id="rId560" Type="http://schemas.openxmlformats.org/officeDocument/2006/relationships/hyperlink" Target="https://www.youtube.com/watch?v=w1UAQGgnz4A" TargetMode="External"/><Relationship Id="rId798" Type="http://schemas.openxmlformats.org/officeDocument/2006/relationships/hyperlink" Target="https://www.youtube.com/watch?v=p08RUDejFXs" TargetMode="External"/><Relationship Id="rId92" Type="http://schemas.openxmlformats.org/officeDocument/2006/relationships/hyperlink" Target="https://www.youtube.com/watch?v=LXrKKz7Mld8" TargetMode="External"/><Relationship Id="rId213" Type="http://schemas.openxmlformats.org/officeDocument/2006/relationships/hyperlink" Target="https://www.youtube.com/embed/fjD9BVlmPoA?start=4940&amp;end=5295&amp;autoplay=1" TargetMode="External"/><Relationship Id="rId420" Type="http://schemas.openxmlformats.org/officeDocument/2006/relationships/hyperlink" Target="https://www.youtube.com/watch?v=VwTbkm1NN4Y" TargetMode="External"/><Relationship Id="rId616" Type="http://schemas.openxmlformats.org/officeDocument/2006/relationships/hyperlink" Target="https://www.youtube.com/watch?v=Cuelsn9VyZQ" TargetMode="External"/><Relationship Id="rId658" Type="http://schemas.openxmlformats.org/officeDocument/2006/relationships/hyperlink" Target="https://www.youtube.com/watch?v=4xWwhXcAjhU" TargetMode="External"/><Relationship Id="rId823" Type="http://schemas.openxmlformats.org/officeDocument/2006/relationships/hyperlink" Target="https://www.youtube.com/watch?v=Ih4StVOa0Qs" TargetMode="External"/><Relationship Id="rId865" Type="http://schemas.openxmlformats.org/officeDocument/2006/relationships/hyperlink" Target="https://www.youtube.com/watch?v=DMReaVWJGFE" TargetMode="External"/><Relationship Id="rId255" Type="http://schemas.openxmlformats.org/officeDocument/2006/relationships/hyperlink" Target="https://www.youtube.com/embed/Vf5BOYF0S3Y?start=3931&amp;end=4110&amp;autoplay=1" TargetMode="External"/><Relationship Id="rId297" Type="http://schemas.openxmlformats.org/officeDocument/2006/relationships/hyperlink" Target="https://www.youtube.com/watch?v=75OFJ9IX4tI" TargetMode="External"/><Relationship Id="rId462" Type="http://schemas.openxmlformats.org/officeDocument/2006/relationships/hyperlink" Target="https://www.youtube.com/watch?v=tBf6vZKjL9w" TargetMode="External"/><Relationship Id="rId518" Type="http://schemas.openxmlformats.org/officeDocument/2006/relationships/hyperlink" Target="https://www.youtube.com/watch?v=dlQfycnk550" TargetMode="External"/><Relationship Id="rId725" Type="http://schemas.openxmlformats.org/officeDocument/2006/relationships/hyperlink" Target="https://www.youtube.com/watch?v=udkwSpjJnGk" TargetMode="External"/><Relationship Id="rId932" Type="http://schemas.openxmlformats.org/officeDocument/2006/relationships/vmlDrawing" Target="../drawings/vmlDrawing1.vml"/><Relationship Id="rId115" Type="http://schemas.openxmlformats.org/officeDocument/2006/relationships/hyperlink" Target="https://www.youtube.com/watch?v=-udb2VYB5uo" TargetMode="External"/><Relationship Id="rId157" Type="http://schemas.openxmlformats.org/officeDocument/2006/relationships/hyperlink" Target="https://www.youtube.com/watch?v=HZ6X5Xt1nS8" TargetMode="External"/><Relationship Id="rId322" Type="http://schemas.openxmlformats.org/officeDocument/2006/relationships/hyperlink" Target="https://www.youtube.com/watch?v=wgud4Fi47XA" TargetMode="External"/><Relationship Id="rId364" Type="http://schemas.openxmlformats.org/officeDocument/2006/relationships/hyperlink" Target="https://www.youtube.com/watch?v=XeCuvEX-tow" TargetMode="External"/><Relationship Id="rId767" Type="http://schemas.openxmlformats.org/officeDocument/2006/relationships/hyperlink" Target="https://www.youtube.com/watch?v=DrTFGS7SoCg" TargetMode="External"/><Relationship Id="rId61" Type="http://schemas.openxmlformats.org/officeDocument/2006/relationships/hyperlink" Target="https://www.youtube.com/watch?v=dp7l5qmLHJI" TargetMode="External"/><Relationship Id="rId199" Type="http://schemas.openxmlformats.org/officeDocument/2006/relationships/hyperlink" Target="https://www.youtube.com/embed/G3NpQQMh8jQ?start=1373&amp;end=1454&amp;autoplay=1" TargetMode="External"/><Relationship Id="rId571" Type="http://schemas.openxmlformats.org/officeDocument/2006/relationships/hyperlink" Target="https://www.youtube.com/watch?v=OAcu0ZHtcXc" TargetMode="External"/><Relationship Id="rId627" Type="http://schemas.openxmlformats.org/officeDocument/2006/relationships/hyperlink" Target="https://www.youtube.com/watch?v=WfJvOgXp9SM" TargetMode="External"/><Relationship Id="rId669" Type="http://schemas.openxmlformats.org/officeDocument/2006/relationships/hyperlink" Target="https://www.youtube.com/watch?v=ll-fhgVbj1I" TargetMode="External"/><Relationship Id="rId834" Type="http://schemas.openxmlformats.org/officeDocument/2006/relationships/hyperlink" Target="https://www.youtube.com/watch?v=vzoIHUTieE0" TargetMode="External"/><Relationship Id="rId876" Type="http://schemas.openxmlformats.org/officeDocument/2006/relationships/hyperlink" Target="https://www.youtube.com/watch?v=1wYg5d-4aVg" TargetMode="External"/><Relationship Id="rId19" Type="http://schemas.openxmlformats.org/officeDocument/2006/relationships/hyperlink" Target="https://www.youtube.com/watch?v=tkF_3Ixn02I" TargetMode="External"/><Relationship Id="rId224" Type="http://schemas.openxmlformats.org/officeDocument/2006/relationships/hyperlink" Target="https://www.youtube.com/embed/8RSu4ymCgp4?start=1343&amp;end=1935&amp;autoplay=1" TargetMode="External"/><Relationship Id="rId266" Type="http://schemas.openxmlformats.org/officeDocument/2006/relationships/hyperlink" Target="https://www.youtube.com/watch?v=iFLc0n8RSAA" TargetMode="External"/><Relationship Id="rId431" Type="http://schemas.openxmlformats.org/officeDocument/2006/relationships/hyperlink" Target="https://www.youtube.com/watch?v=X4TDNzwe3s4" TargetMode="External"/><Relationship Id="rId473" Type="http://schemas.openxmlformats.org/officeDocument/2006/relationships/hyperlink" Target="https://www.youtube.com/watch?v=Iimv8qJijTE" TargetMode="External"/><Relationship Id="rId529" Type="http://schemas.openxmlformats.org/officeDocument/2006/relationships/hyperlink" Target="https://www.youtube.com/watch?v=yMRw4TF7CAk" TargetMode="External"/><Relationship Id="rId680" Type="http://schemas.openxmlformats.org/officeDocument/2006/relationships/hyperlink" Target="https://www.youtube.com/watch?v=EfHkupTL5wU" TargetMode="External"/><Relationship Id="rId736" Type="http://schemas.openxmlformats.org/officeDocument/2006/relationships/hyperlink" Target="https://www.youtube.com/watch?v=C6XbkLOcyVs" TargetMode="External"/><Relationship Id="rId901" Type="http://schemas.openxmlformats.org/officeDocument/2006/relationships/hyperlink" Target="https://www.youtube.com/watch?v=VFJFvcNogFU" TargetMode="External"/><Relationship Id="rId30" Type="http://schemas.openxmlformats.org/officeDocument/2006/relationships/hyperlink" Target="https://www.youtube.com/embed/Uq2PJjcHiqI?start=268&amp;end=401&amp;autoplay=1" TargetMode="External"/><Relationship Id="rId126" Type="http://schemas.openxmlformats.org/officeDocument/2006/relationships/hyperlink" Target="https://www.youtube.com/watch?v=TGgYE0Ui0co" TargetMode="External"/><Relationship Id="rId168" Type="http://schemas.openxmlformats.org/officeDocument/2006/relationships/hyperlink" Target="https://www.youtube.com/embed/YFmL65VsWdk?start=801&amp;end=950&amp;autoplay=1" TargetMode="External"/><Relationship Id="rId333" Type="http://schemas.openxmlformats.org/officeDocument/2006/relationships/hyperlink" Target="https://www.youtube.com/embed/cpZPvFvzNlc?start=618&amp;end=1033&amp;autoplay=1" TargetMode="External"/><Relationship Id="rId540" Type="http://schemas.openxmlformats.org/officeDocument/2006/relationships/hyperlink" Target="https://www.youtube.com/watch?v=Kg7UNGe9lik" TargetMode="External"/><Relationship Id="rId778" Type="http://schemas.openxmlformats.org/officeDocument/2006/relationships/hyperlink" Target="https://www.youtube.com/watch?v=SNAHZpRl3go" TargetMode="External"/><Relationship Id="rId72" Type="http://schemas.openxmlformats.org/officeDocument/2006/relationships/hyperlink" Target="https://www.youtube.com/embed/qCG2vqnaUx4?start=0&amp;end=347&amp;autoplay=1" TargetMode="External"/><Relationship Id="rId375" Type="http://schemas.openxmlformats.org/officeDocument/2006/relationships/hyperlink" Target="https://www.youtube.com/watch?v=9ScY3DQ8lnM" TargetMode="External"/><Relationship Id="rId582" Type="http://schemas.openxmlformats.org/officeDocument/2006/relationships/hyperlink" Target="https://www.youtube.com/watch?v=G6rcMSQ1UVE" TargetMode="External"/><Relationship Id="rId638" Type="http://schemas.openxmlformats.org/officeDocument/2006/relationships/hyperlink" Target="https://www.youtube.com/watch?v=rAWCL2ENS90" TargetMode="External"/><Relationship Id="rId803" Type="http://schemas.openxmlformats.org/officeDocument/2006/relationships/hyperlink" Target="https://www.youtube.com/watch?v=69M5XJQEYX4" TargetMode="External"/><Relationship Id="rId845" Type="http://schemas.openxmlformats.org/officeDocument/2006/relationships/hyperlink" Target="https://www.youtube.com/watch?v=vaRCmUwpmNk" TargetMode="External"/><Relationship Id="rId3" Type="http://schemas.openxmlformats.org/officeDocument/2006/relationships/hyperlink" Target="https://www.youtube.com/watch?v=21ZKFBL-Yc0" TargetMode="External"/><Relationship Id="rId235" Type="http://schemas.openxmlformats.org/officeDocument/2006/relationships/hyperlink" Target="https://www.youtube.com/embed/8RSu4ymCgp4?start=3578&amp;end=3600&amp;autoplay=1" TargetMode="External"/><Relationship Id="rId277" Type="http://schemas.openxmlformats.org/officeDocument/2006/relationships/hyperlink" Target="https://www.youtube.com/watch?v=UrWQfScMALY" TargetMode="External"/><Relationship Id="rId400" Type="http://schemas.openxmlformats.org/officeDocument/2006/relationships/hyperlink" Target="https://www.youtube.com/watch?v=pfw-rEK12IA" TargetMode="External"/><Relationship Id="rId442" Type="http://schemas.openxmlformats.org/officeDocument/2006/relationships/hyperlink" Target="https://www.youtube.com/watch?v=-cC-ErXYdnI" TargetMode="External"/><Relationship Id="rId484" Type="http://schemas.openxmlformats.org/officeDocument/2006/relationships/hyperlink" Target="https://www.youtube.com/watch?v=sdUuukDpj9s" TargetMode="External"/><Relationship Id="rId705" Type="http://schemas.openxmlformats.org/officeDocument/2006/relationships/hyperlink" Target="https://www.youtube.com/watch?v=3dgPn1KOovw" TargetMode="External"/><Relationship Id="rId887" Type="http://schemas.openxmlformats.org/officeDocument/2006/relationships/hyperlink" Target="https://www.youtube.com/watch?v=5IYA6g6rNW0" TargetMode="External"/><Relationship Id="rId137" Type="http://schemas.openxmlformats.org/officeDocument/2006/relationships/hyperlink" Target="https://www.youtube.com/embed/ByaheAphduQ?start=1970&amp;end=2092&amp;autoplay=1" TargetMode="External"/><Relationship Id="rId302" Type="http://schemas.openxmlformats.org/officeDocument/2006/relationships/hyperlink" Target="https://www.youtube.com/watch?v=PjvzuUMMZs4" TargetMode="External"/><Relationship Id="rId344" Type="http://schemas.openxmlformats.org/officeDocument/2006/relationships/hyperlink" Target="https://www.youtube.com/watch?v=MFVzVjuj90E" TargetMode="External"/><Relationship Id="rId691" Type="http://schemas.openxmlformats.org/officeDocument/2006/relationships/hyperlink" Target="https://www.youtube.com/watch?v=_nyKGkDh6WM" TargetMode="External"/><Relationship Id="rId747" Type="http://schemas.openxmlformats.org/officeDocument/2006/relationships/hyperlink" Target="https://www.youtube.com/watch?v=EfQbirNpLM8" TargetMode="External"/><Relationship Id="rId789" Type="http://schemas.openxmlformats.org/officeDocument/2006/relationships/hyperlink" Target="https://www.youtube.com/watch?v=lnII4AH2rHw" TargetMode="External"/><Relationship Id="rId912" Type="http://schemas.openxmlformats.org/officeDocument/2006/relationships/hyperlink" Target="https://www.youtube.com/watch?v=GtSbmTRia5Y" TargetMode="External"/><Relationship Id="rId41" Type="http://schemas.openxmlformats.org/officeDocument/2006/relationships/hyperlink" Target="https://www.youtube.com/embed/LdrmgXtd_rs?start=472&amp;end=572&amp;autoplay=1" TargetMode="External"/><Relationship Id="rId83" Type="http://schemas.openxmlformats.org/officeDocument/2006/relationships/hyperlink" Target="https://www.youtube.com/watch?v=VeR7IhIkDk0" TargetMode="External"/><Relationship Id="rId179" Type="http://schemas.openxmlformats.org/officeDocument/2006/relationships/hyperlink" Target="https://www.youtube.com/watch?v=54lSHTtU68A" TargetMode="External"/><Relationship Id="rId386" Type="http://schemas.openxmlformats.org/officeDocument/2006/relationships/hyperlink" Target="https://www.youtube.com/watch?v=v6x52noLJOo" TargetMode="External"/><Relationship Id="rId551" Type="http://schemas.openxmlformats.org/officeDocument/2006/relationships/hyperlink" Target="https://www.youtube.com/watch?v=J2klGHwzFFo" TargetMode="External"/><Relationship Id="rId593" Type="http://schemas.openxmlformats.org/officeDocument/2006/relationships/hyperlink" Target="https://www.youtube.com/watch?v=6aJLKt2nXsg" TargetMode="External"/><Relationship Id="rId607" Type="http://schemas.openxmlformats.org/officeDocument/2006/relationships/hyperlink" Target="https://www.youtube.com/watch?v=2Hmcjz_IH8I" TargetMode="External"/><Relationship Id="rId649" Type="http://schemas.openxmlformats.org/officeDocument/2006/relationships/hyperlink" Target="https://www.youtube.com/watch?v=FQ3dpY5j5y8" TargetMode="External"/><Relationship Id="rId814" Type="http://schemas.openxmlformats.org/officeDocument/2006/relationships/hyperlink" Target="https://www.youtube.com/watch?v=_D2sWZSHDqg&amp;t=834s" TargetMode="External"/><Relationship Id="rId856" Type="http://schemas.openxmlformats.org/officeDocument/2006/relationships/hyperlink" Target="https://www.youtube.com/watch?v=OI3nL5YCIO8" TargetMode="External"/><Relationship Id="rId190" Type="http://schemas.openxmlformats.org/officeDocument/2006/relationships/hyperlink" Target="https://www.youtube.com/watch?v=lXmhJr1LDyI" TargetMode="External"/><Relationship Id="rId204" Type="http://schemas.openxmlformats.org/officeDocument/2006/relationships/hyperlink" Target="https://www.youtube.com/embed/fjD9BVlmPoA?start=904&amp;end=1419&amp;autoplay=1" TargetMode="External"/><Relationship Id="rId246" Type="http://schemas.openxmlformats.org/officeDocument/2006/relationships/hyperlink" Target="https://www.youtube.com/embed/Vf5BOYF0S3Y?start=1740&amp;end=2000&amp;autoplay=1" TargetMode="External"/><Relationship Id="rId288" Type="http://schemas.openxmlformats.org/officeDocument/2006/relationships/hyperlink" Target="https://www.youtube.com/watch?v=qd7yTtTb_Fc" TargetMode="External"/><Relationship Id="rId411" Type="http://schemas.openxmlformats.org/officeDocument/2006/relationships/hyperlink" Target="https://www.youtube.com/watch?v=Ow3nJA8fhhQ" TargetMode="External"/><Relationship Id="rId453" Type="http://schemas.openxmlformats.org/officeDocument/2006/relationships/hyperlink" Target="https://www.youtube.com/watch?v=-fhrU0xoCgk" TargetMode="External"/><Relationship Id="rId509" Type="http://schemas.openxmlformats.org/officeDocument/2006/relationships/hyperlink" Target="https://www.youtube.com/watch?v=5U64D5B9-O0" TargetMode="External"/><Relationship Id="rId660" Type="http://schemas.openxmlformats.org/officeDocument/2006/relationships/hyperlink" Target="https://www.youtube.com/watch?v=udY03G3fVJQ" TargetMode="External"/><Relationship Id="rId898" Type="http://schemas.openxmlformats.org/officeDocument/2006/relationships/hyperlink" Target="https://www.youtube.com/watch?v=qIQN0DtO2Z8" TargetMode="External"/><Relationship Id="rId106" Type="http://schemas.openxmlformats.org/officeDocument/2006/relationships/hyperlink" Target="https://www.youtube.com/embed/Yhp3rFuo5Cw?start=0&amp;end=360&amp;autoplay=1" TargetMode="External"/><Relationship Id="rId313" Type="http://schemas.openxmlformats.org/officeDocument/2006/relationships/hyperlink" Target="https://www.youtube.com/watch?v=yaOVnZ7W-Qc" TargetMode="External"/><Relationship Id="rId495" Type="http://schemas.openxmlformats.org/officeDocument/2006/relationships/hyperlink" Target="https://www.youtube.com/watch?v=gtDa8NLyc74" TargetMode="External"/><Relationship Id="rId716" Type="http://schemas.openxmlformats.org/officeDocument/2006/relationships/hyperlink" Target="https://www.youtube.com/watch?v=3dYP3FhD3Po" TargetMode="External"/><Relationship Id="rId758" Type="http://schemas.openxmlformats.org/officeDocument/2006/relationships/hyperlink" Target="https://www.youtube.com/watch?v=MFeGLeUGf6Q" TargetMode="External"/><Relationship Id="rId923" Type="http://schemas.openxmlformats.org/officeDocument/2006/relationships/hyperlink" Target="https://www.youtube.com/embed/79r5KYH0nBI?start=798&amp;end=900&amp;autoplay=1" TargetMode="External"/><Relationship Id="rId10" Type="http://schemas.openxmlformats.org/officeDocument/2006/relationships/hyperlink" Target="https://www.youtube.com/watch?v=0_EJXPWJN4E" TargetMode="External"/><Relationship Id="rId52" Type="http://schemas.openxmlformats.org/officeDocument/2006/relationships/hyperlink" Target="https://www.youtube.com/embed/N0PD3TuLvoo?start=77&amp;end=184&amp;autoplay=1" TargetMode="External"/><Relationship Id="rId94" Type="http://schemas.openxmlformats.org/officeDocument/2006/relationships/hyperlink" Target="https://www.youtube.com/watch?v=ufZ1BZcZzKI" TargetMode="External"/><Relationship Id="rId148" Type="http://schemas.openxmlformats.org/officeDocument/2006/relationships/hyperlink" Target="https://www.youtube.com/embed/s3LVHHEe2vc?start=730&amp;end=1000&amp;autoplay=1" TargetMode="External"/><Relationship Id="rId355" Type="http://schemas.openxmlformats.org/officeDocument/2006/relationships/hyperlink" Target="https://www.youtube.com/watch?v=yVdcSMOWtxM" TargetMode="External"/><Relationship Id="rId397" Type="http://schemas.openxmlformats.org/officeDocument/2006/relationships/hyperlink" Target="https://www.youtube.com/watch?v=DoYL7K2djDY" TargetMode="External"/><Relationship Id="rId520" Type="http://schemas.openxmlformats.org/officeDocument/2006/relationships/hyperlink" Target="https://www.youtube.com/watch?v=Xml5nVm8bg0" TargetMode="External"/><Relationship Id="rId562" Type="http://schemas.openxmlformats.org/officeDocument/2006/relationships/hyperlink" Target="https://www.youtube.com/watch?v=JcNaFHIozC4" TargetMode="External"/><Relationship Id="rId618" Type="http://schemas.openxmlformats.org/officeDocument/2006/relationships/hyperlink" Target="https://www.youtube.com/watch?v=xVrbpqr1LEE" TargetMode="External"/><Relationship Id="rId825" Type="http://schemas.openxmlformats.org/officeDocument/2006/relationships/hyperlink" Target="https://www.youtube.com/watch?v=sZGlmV--sG4" TargetMode="External"/><Relationship Id="rId215" Type="http://schemas.openxmlformats.org/officeDocument/2006/relationships/hyperlink" Target="https://www.youtube.com/watch?v=schP-IZS5Sw" TargetMode="External"/><Relationship Id="rId257" Type="http://schemas.openxmlformats.org/officeDocument/2006/relationships/hyperlink" Target="https://www.youtube.com/embed/Vf5BOYF0S3Y?start=5217&amp;end=5345&amp;autoplay=1" TargetMode="External"/><Relationship Id="rId422" Type="http://schemas.openxmlformats.org/officeDocument/2006/relationships/hyperlink" Target="https://www.youtube.com/watch?v=CouNRYMLDmY" TargetMode="External"/><Relationship Id="rId464" Type="http://schemas.openxmlformats.org/officeDocument/2006/relationships/hyperlink" Target="https://www.youtube.com/watch?v=0DzUUFbFZHs" TargetMode="External"/><Relationship Id="rId867" Type="http://schemas.openxmlformats.org/officeDocument/2006/relationships/hyperlink" Target="https://www.youtube.com/watch?v=KCUZ6hBgxc0" TargetMode="External"/><Relationship Id="rId299" Type="http://schemas.openxmlformats.org/officeDocument/2006/relationships/hyperlink" Target="https://www.youtube.com/watch?v=cKIAV15AZcI" TargetMode="External"/><Relationship Id="rId727" Type="http://schemas.openxmlformats.org/officeDocument/2006/relationships/hyperlink" Target="https://www.youtube.com/watch?v=tlCqUXsDwDc" TargetMode="External"/><Relationship Id="rId63" Type="http://schemas.openxmlformats.org/officeDocument/2006/relationships/hyperlink" Target="https://www.youtube.com/watch?v=ryQMb29oX3s" TargetMode="External"/><Relationship Id="rId159" Type="http://schemas.openxmlformats.org/officeDocument/2006/relationships/hyperlink" Target="https://www.youtube.com/watch?v=M-zdPqtp9Kk" TargetMode="External"/><Relationship Id="rId366" Type="http://schemas.openxmlformats.org/officeDocument/2006/relationships/hyperlink" Target="https://www.youtube.com/watch?v=t63m6GCrKbw" TargetMode="External"/><Relationship Id="rId573" Type="http://schemas.openxmlformats.org/officeDocument/2006/relationships/hyperlink" Target="https://www.youtube.com/watch?v=_VfaX30ncIU" TargetMode="External"/><Relationship Id="rId780" Type="http://schemas.openxmlformats.org/officeDocument/2006/relationships/hyperlink" Target="https://www.youtube.com/watch?v=Vrv16kSoTLQ" TargetMode="External"/><Relationship Id="rId226" Type="http://schemas.openxmlformats.org/officeDocument/2006/relationships/hyperlink" Target="https://www.youtube.com/embed/8RSu4ymCgp4?start=2010&amp;end=2070&amp;autoplay=1" TargetMode="External"/><Relationship Id="rId433" Type="http://schemas.openxmlformats.org/officeDocument/2006/relationships/hyperlink" Target="https://www.youtube.com/watch?v=s1VIjn0qPQg" TargetMode="External"/><Relationship Id="rId878" Type="http://schemas.openxmlformats.org/officeDocument/2006/relationships/hyperlink" Target="https://www.youtube.com/watch?v=Owv0FewW5Bo" TargetMode="External"/><Relationship Id="rId640" Type="http://schemas.openxmlformats.org/officeDocument/2006/relationships/hyperlink" Target="https://www.youtube.com/watch?v=EMznloyYysU" TargetMode="External"/><Relationship Id="rId738" Type="http://schemas.openxmlformats.org/officeDocument/2006/relationships/hyperlink" Target="https://www.youtube.com/watch?v=qiir-ZWT6yI" TargetMode="External"/><Relationship Id="rId74" Type="http://schemas.openxmlformats.org/officeDocument/2006/relationships/hyperlink" Target="https://www.youtube.com/watch?v=ycnvyB8pDEM" TargetMode="External"/><Relationship Id="rId377" Type="http://schemas.openxmlformats.org/officeDocument/2006/relationships/hyperlink" Target="https://www.youtube.com/watch?v=2p91-Fy5A6Q" TargetMode="External"/><Relationship Id="rId500" Type="http://schemas.openxmlformats.org/officeDocument/2006/relationships/hyperlink" Target="https://www.youtube.com/watch?v=LkTTH9gGQwA" TargetMode="External"/><Relationship Id="rId584" Type="http://schemas.openxmlformats.org/officeDocument/2006/relationships/hyperlink" Target="https://www.youtube.com/watch?v=zV5AbsAy5m4" TargetMode="External"/><Relationship Id="rId805" Type="http://schemas.openxmlformats.org/officeDocument/2006/relationships/hyperlink" Target="https://www.youtube.com/watch?v=1Gop0_4D5pE" TargetMode="External"/><Relationship Id="rId5" Type="http://schemas.openxmlformats.org/officeDocument/2006/relationships/hyperlink" Target="https://www.youtube.com/watch?v=7WsGnkGob7A" TargetMode="External"/><Relationship Id="rId237" Type="http://schemas.openxmlformats.org/officeDocument/2006/relationships/hyperlink" Target="https://www.youtube.com/embed/8RSu4ymCgp4?start=4578&amp;end=4690&amp;autoplay=1" TargetMode="External"/><Relationship Id="rId791" Type="http://schemas.openxmlformats.org/officeDocument/2006/relationships/hyperlink" Target="https://www.youtube.com/watch?v=_zmgXM40afU" TargetMode="External"/><Relationship Id="rId889" Type="http://schemas.openxmlformats.org/officeDocument/2006/relationships/hyperlink" Target="https://www.youtube.com/watch?v=s9g49kgd9ao" TargetMode="External"/><Relationship Id="rId444" Type="http://schemas.openxmlformats.org/officeDocument/2006/relationships/hyperlink" Target="https://www.youtube.com/watch?v=O5i1SD7KFkI" TargetMode="External"/><Relationship Id="rId651" Type="http://schemas.openxmlformats.org/officeDocument/2006/relationships/hyperlink" Target="https://www.youtube.com/watch?v=ejkbEib1Otk" TargetMode="External"/><Relationship Id="rId749" Type="http://schemas.openxmlformats.org/officeDocument/2006/relationships/hyperlink" Target="https://www.youtube.com/watch?v=6WJO3QlTEpg" TargetMode="External"/><Relationship Id="rId290" Type="http://schemas.openxmlformats.org/officeDocument/2006/relationships/hyperlink" Target="https://www.youtube.com/watch?v=agP31XI_FxA" TargetMode="External"/><Relationship Id="rId304" Type="http://schemas.openxmlformats.org/officeDocument/2006/relationships/hyperlink" Target="https://www.youtube.com/watch?v=vKGL9b0x_K8" TargetMode="External"/><Relationship Id="rId388" Type="http://schemas.openxmlformats.org/officeDocument/2006/relationships/hyperlink" Target="https://www.youtube.com/watch?v=7RTlRYpr7o8" TargetMode="External"/><Relationship Id="rId511" Type="http://schemas.openxmlformats.org/officeDocument/2006/relationships/hyperlink" Target="https://www.youtube.com/watch?v=zKr-cYKprD8" TargetMode="External"/><Relationship Id="rId609" Type="http://schemas.openxmlformats.org/officeDocument/2006/relationships/hyperlink" Target="https://www.youtube.com/watch?v=2U1DVGO8vo4" TargetMode="External"/><Relationship Id="rId85" Type="http://schemas.openxmlformats.org/officeDocument/2006/relationships/hyperlink" Target="https://www.youtube.com/watch?v=THua8SMPtK4" TargetMode="External"/><Relationship Id="rId150" Type="http://schemas.openxmlformats.org/officeDocument/2006/relationships/hyperlink" Target="https://www.youtube.com/embed/s3LVHHEe2vc?start=2380&amp;end=2475&amp;autoplay=1" TargetMode="External"/><Relationship Id="rId595" Type="http://schemas.openxmlformats.org/officeDocument/2006/relationships/hyperlink" Target="https://www.youtube.com/watch?v=txsij6WXt8s" TargetMode="External"/><Relationship Id="rId816" Type="http://schemas.openxmlformats.org/officeDocument/2006/relationships/hyperlink" Target="https://www.youtube.com/watch?v=N6IDjOR1OY0" TargetMode="External"/><Relationship Id="rId248" Type="http://schemas.openxmlformats.org/officeDocument/2006/relationships/hyperlink" Target="https://www.youtube.com/embed/Vf5BOYF0S3Y?start=1855&amp;end=1925&amp;autoplay=1" TargetMode="External"/><Relationship Id="rId455" Type="http://schemas.openxmlformats.org/officeDocument/2006/relationships/hyperlink" Target="https://www.youtube.com/watch?v=yZ08CJsgurU" TargetMode="External"/><Relationship Id="rId662" Type="http://schemas.openxmlformats.org/officeDocument/2006/relationships/hyperlink" Target="https://www.youtube.com/watch?v=JkMKDP2BOlw&amp;t=169s" TargetMode="External"/><Relationship Id="rId12" Type="http://schemas.openxmlformats.org/officeDocument/2006/relationships/hyperlink" Target="https://www.youtube.com/embed/Kxuiy8OL30w?start=89&amp;end=125&amp;autoplay=1" TargetMode="External"/><Relationship Id="rId108" Type="http://schemas.openxmlformats.org/officeDocument/2006/relationships/hyperlink" Target="https://www.youtube.com/watch?v=8qjQH_-WzyE" TargetMode="External"/><Relationship Id="rId315" Type="http://schemas.openxmlformats.org/officeDocument/2006/relationships/hyperlink" Target="https://www.youtube.com/watch?v=8iuVX1AkV_0" TargetMode="External"/><Relationship Id="rId522" Type="http://schemas.openxmlformats.org/officeDocument/2006/relationships/hyperlink" Target="https://www.youtube.com/watch?v=QT3p6iGNrkU" TargetMode="External"/><Relationship Id="rId96" Type="http://schemas.openxmlformats.org/officeDocument/2006/relationships/hyperlink" Target="https://www.youtube.com/watch?v=rNhQIKC2jPM" TargetMode="External"/><Relationship Id="rId161" Type="http://schemas.openxmlformats.org/officeDocument/2006/relationships/hyperlink" Target="https://www.youtube.com/watch?v=OpsoPcAUMbw" TargetMode="External"/><Relationship Id="rId399" Type="http://schemas.openxmlformats.org/officeDocument/2006/relationships/hyperlink" Target="https://www.youtube.com/watch?v=QPVDHJcsv5U" TargetMode="External"/><Relationship Id="rId827" Type="http://schemas.openxmlformats.org/officeDocument/2006/relationships/hyperlink" Target="https://www.youtube.com/watch?v=EXkq2inhXiw" TargetMode="External"/><Relationship Id="rId259" Type="http://schemas.openxmlformats.org/officeDocument/2006/relationships/hyperlink" Target="https://www.youtube.com/embed/Vf5BOYF0S3Y?start=6250&amp;end=6381&amp;autoplay=1" TargetMode="External"/><Relationship Id="rId466" Type="http://schemas.openxmlformats.org/officeDocument/2006/relationships/hyperlink" Target="https://www.youtube.com/watch?v=NhDs3OPqMQ4" TargetMode="External"/><Relationship Id="rId673" Type="http://schemas.openxmlformats.org/officeDocument/2006/relationships/hyperlink" Target="https://www.youtube.com/watch?v=3vhgcNKVRgY" TargetMode="External"/><Relationship Id="rId880" Type="http://schemas.openxmlformats.org/officeDocument/2006/relationships/hyperlink" Target="https://www.youtube.com/watch?v=tPgOVeqnOcc" TargetMode="External"/><Relationship Id="rId23" Type="http://schemas.openxmlformats.org/officeDocument/2006/relationships/hyperlink" Target="https://www.youtube.com/embed/_IcfDP-ezpo?start=50&amp;end=280&amp;autoplay=1" TargetMode="External"/><Relationship Id="rId119" Type="http://schemas.openxmlformats.org/officeDocument/2006/relationships/hyperlink" Target="https://www.youtube.com/embed/f-MLHIb4dFU?start=0&amp;end=190&amp;autoplay=1" TargetMode="External"/><Relationship Id="rId326" Type="http://schemas.openxmlformats.org/officeDocument/2006/relationships/hyperlink" Target="https://www.youtube.com/watch?v=MfzPrOKKZVo" TargetMode="External"/><Relationship Id="rId533" Type="http://schemas.openxmlformats.org/officeDocument/2006/relationships/hyperlink" Target="https://www.youtube.com/watch?v=kKbQvD24QPY" TargetMode="External"/><Relationship Id="rId740" Type="http://schemas.openxmlformats.org/officeDocument/2006/relationships/hyperlink" Target="https://www.youtube.com/watch?v=6PUBS8MXVzc" TargetMode="External"/><Relationship Id="rId838" Type="http://schemas.openxmlformats.org/officeDocument/2006/relationships/hyperlink" Target="https://www.youtube.com/watch?v=Lrh5zQHEIk4" TargetMode="External"/><Relationship Id="rId172" Type="http://schemas.openxmlformats.org/officeDocument/2006/relationships/hyperlink" Target="https://www.youtube.com/embed/YFmL65VsWdk?start=1575&amp;end=1920&amp;autoplay=1" TargetMode="External"/><Relationship Id="rId477" Type="http://schemas.openxmlformats.org/officeDocument/2006/relationships/hyperlink" Target="https://www.youtube.com/watch?v=G-AjF_4Jc1I" TargetMode="External"/><Relationship Id="rId600" Type="http://schemas.openxmlformats.org/officeDocument/2006/relationships/hyperlink" Target="https://www.youtube.com/watch?v=-JT1qlD0wPQ" TargetMode="External"/><Relationship Id="rId684" Type="http://schemas.openxmlformats.org/officeDocument/2006/relationships/hyperlink" Target="https://www.youtube.com/watch?v=VkyOIj4SQu4" TargetMode="External"/><Relationship Id="rId337" Type="http://schemas.openxmlformats.org/officeDocument/2006/relationships/hyperlink" Target="https://www.youtube.com/embed/cpZPvFvzNlc?start=1976&amp;end=2061&amp;autoplay=1" TargetMode="External"/><Relationship Id="rId891" Type="http://schemas.openxmlformats.org/officeDocument/2006/relationships/hyperlink" Target="https://www.youtube.com/watch?v=1CJb6PuWDqk" TargetMode="External"/><Relationship Id="rId905" Type="http://schemas.openxmlformats.org/officeDocument/2006/relationships/hyperlink" Target="https://www.youtube.com/watch?v=xCLLCYBg7Zc" TargetMode="External"/><Relationship Id="rId34" Type="http://schemas.openxmlformats.org/officeDocument/2006/relationships/hyperlink" Target="https://www.youtube.com/watch?v=5LJPOCxc3E8" TargetMode="External"/><Relationship Id="rId544" Type="http://schemas.openxmlformats.org/officeDocument/2006/relationships/hyperlink" Target="https://www.youtube.com/watch?v=4fTC0cZiBus" TargetMode="External"/><Relationship Id="rId751" Type="http://schemas.openxmlformats.org/officeDocument/2006/relationships/hyperlink" Target="https://www.youtube.com/watch?v=k8zAYJDE01E" TargetMode="External"/><Relationship Id="rId849" Type="http://schemas.openxmlformats.org/officeDocument/2006/relationships/hyperlink" Target="https://www.youtube.com/watch?v=xAicQnL_abA" TargetMode="External"/><Relationship Id="rId183" Type="http://schemas.openxmlformats.org/officeDocument/2006/relationships/hyperlink" Target="https://www.youtube.com/watch?v=4eM5V0OXNNU" TargetMode="External"/><Relationship Id="rId390" Type="http://schemas.openxmlformats.org/officeDocument/2006/relationships/hyperlink" Target="https://www.youtube.com/watch?v=oYXPvuD_ejM" TargetMode="External"/><Relationship Id="rId404" Type="http://schemas.openxmlformats.org/officeDocument/2006/relationships/hyperlink" Target="https://www.youtube.com/watch?v=3asYCknfoMo" TargetMode="External"/><Relationship Id="rId611" Type="http://schemas.openxmlformats.org/officeDocument/2006/relationships/hyperlink" Target="https://www.youtube.com/watch?v=lJLoAHZxMWE" TargetMode="External"/><Relationship Id="rId250" Type="http://schemas.openxmlformats.org/officeDocument/2006/relationships/hyperlink" Target="https://www.youtube.com/embed/Vf5BOYF0S3Y?start=2435&amp;end=2525&amp;autoplay=1" TargetMode="External"/><Relationship Id="rId488" Type="http://schemas.openxmlformats.org/officeDocument/2006/relationships/hyperlink" Target="https://www.youtube.com/watch?v=p4NkqPPh2fk" TargetMode="External"/><Relationship Id="rId695" Type="http://schemas.openxmlformats.org/officeDocument/2006/relationships/hyperlink" Target="https://www.youtube.com/watch?v=2yRygpW0RYY" TargetMode="External"/><Relationship Id="rId709" Type="http://schemas.openxmlformats.org/officeDocument/2006/relationships/hyperlink" Target="https://www.youtube.com/watch?v=joPLKP546hk" TargetMode="External"/><Relationship Id="rId916" Type="http://schemas.openxmlformats.org/officeDocument/2006/relationships/hyperlink" Target="https://www.youtube.com/watch?v=9jjsiAFVdXc" TargetMode="External"/><Relationship Id="rId45" Type="http://schemas.openxmlformats.org/officeDocument/2006/relationships/hyperlink" Target="https://www.youtube.com/watch?v=RdBz1kIwrqo" TargetMode="External"/><Relationship Id="rId110" Type="http://schemas.openxmlformats.org/officeDocument/2006/relationships/hyperlink" Target="https://www.youtube.com/embed/8qjQH_-WzyE?start=345&amp;end=410&amp;autoplay=1" TargetMode="External"/><Relationship Id="rId348" Type="http://schemas.openxmlformats.org/officeDocument/2006/relationships/hyperlink" Target="https://www.youtube.com/watch?v=NfO_yqDrGWs" TargetMode="External"/><Relationship Id="rId555" Type="http://schemas.openxmlformats.org/officeDocument/2006/relationships/hyperlink" Target="https://www.youtube.com/watch?v=dlfE6JbvIYI" TargetMode="External"/><Relationship Id="rId762" Type="http://schemas.openxmlformats.org/officeDocument/2006/relationships/hyperlink" Target="https://www.youtube.com/watch?v=ZI3BJk08OWI" TargetMode="External"/><Relationship Id="rId194" Type="http://schemas.openxmlformats.org/officeDocument/2006/relationships/hyperlink" Target="https://www.youtube.com/embed/G3NpQQMh8jQ?start=91&amp;end=240&amp;autoplay=1" TargetMode="External"/><Relationship Id="rId208" Type="http://schemas.openxmlformats.org/officeDocument/2006/relationships/hyperlink" Target="https://www.youtube.com/embed/fjD9BVlmPoA?start=3534&amp;end=3979&amp;autoplay=1" TargetMode="External"/><Relationship Id="rId415" Type="http://schemas.openxmlformats.org/officeDocument/2006/relationships/hyperlink" Target="https://www.youtube.com/watch?v=xjZO-uNelDI" TargetMode="External"/><Relationship Id="rId622" Type="http://schemas.openxmlformats.org/officeDocument/2006/relationships/hyperlink" Target="https://www.youtube.com/watch?v=9Zummy0j6Ws" TargetMode="External"/><Relationship Id="rId261" Type="http://schemas.openxmlformats.org/officeDocument/2006/relationships/hyperlink" Target="https://www.youtube.com/watch?v=apOba1F4MT4" TargetMode="External"/><Relationship Id="rId499" Type="http://schemas.openxmlformats.org/officeDocument/2006/relationships/hyperlink" Target="https://www.youtube.com/watch?v=55sjF1l4Hu0" TargetMode="External"/><Relationship Id="rId927" Type="http://schemas.openxmlformats.org/officeDocument/2006/relationships/hyperlink" Target="https://www.youtube.com/embed/79r5KYH0nBI?start=2100&amp;end=2280&amp;autoplay=1" TargetMode="External"/><Relationship Id="rId56" Type="http://schemas.openxmlformats.org/officeDocument/2006/relationships/hyperlink" Target="https://www.youtube.com/embed/C3_6Ub1GnfA?start=0&amp;end=211&amp;autoplay=1" TargetMode="External"/><Relationship Id="rId359" Type="http://schemas.openxmlformats.org/officeDocument/2006/relationships/hyperlink" Target="https://www.youtube.com/watch?v=U37L8EPVc5s" TargetMode="External"/><Relationship Id="rId566" Type="http://schemas.openxmlformats.org/officeDocument/2006/relationships/hyperlink" Target="https://www.youtube.com/watch?v=c0qRokhkADI" TargetMode="External"/><Relationship Id="rId773" Type="http://schemas.openxmlformats.org/officeDocument/2006/relationships/hyperlink" Target="https://www.youtube.com/watch?v=r0tSX3M-7oM&amp;t=41s" TargetMode="External"/><Relationship Id="rId121" Type="http://schemas.openxmlformats.org/officeDocument/2006/relationships/hyperlink" Target="https://www.youtube.com/embed/f-MLHIb4dFU?start=564&amp;end=610&amp;autoplay=1" TargetMode="External"/><Relationship Id="rId219" Type="http://schemas.openxmlformats.org/officeDocument/2006/relationships/hyperlink" Target="https://www.youtube.com/watch?v=SrCfhdoTLfg" TargetMode="External"/><Relationship Id="rId426" Type="http://schemas.openxmlformats.org/officeDocument/2006/relationships/hyperlink" Target="https://www.youtube.com/watch?v=hH3jbt-s4aY" TargetMode="External"/><Relationship Id="rId633" Type="http://schemas.openxmlformats.org/officeDocument/2006/relationships/hyperlink" Target="https://www.youtube.com/watch?v=gF2CbaL7t6g" TargetMode="External"/><Relationship Id="rId840" Type="http://schemas.openxmlformats.org/officeDocument/2006/relationships/hyperlink" Target="https://www.youtube.com/watch?v=RJSsEA6fpJE" TargetMode="External"/><Relationship Id="rId67" Type="http://schemas.openxmlformats.org/officeDocument/2006/relationships/hyperlink" Target="https://www.youtube.com/watch?v=lzMEDrUFlpw" TargetMode="External"/><Relationship Id="rId272" Type="http://schemas.openxmlformats.org/officeDocument/2006/relationships/hyperlink" Target="https://www.youtube.com/watch?v=v6It_CJ27bg" TargetMode="External"/><Relationship Id="rId577" Type="http://schemas.openxmlformats.org/officeDocument/2006/relationships/hyperlink" Target="https://www.youtube.com/watch?v=o4_iAmYXDzg" TargetMode="External"/><Relationship Id="rId700" Type="http://schemas.openxmlformats.org/officeDocument/2006/relationships/hyperlink" Target="https://www.youtube.com/watch?v=a30EnICYBUA" TargetMode="External"/><Relationship Id="rId132" Type="http://schemas.openxmlformats.org/officeDocument/2006/relationships/hyperlink" Target="https://www.youtube.com/embed/ByaheAphduQ?start=1205&amp;end=1280&amp;autoplay=1" TargetMode="External"/><Relationship Id="rId784" Type="http://schemas.openxmlformats.org/officeDocument/2006/relationships/hyperlink" Target="https://www.youtube.com/watch?v=HzuZ57Y3-VQ" TargetMode="Externa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17" Type="http://schemas.openxmlformats.org/officeDocument/2006/relationships/hyperlink" Target="https://www.youtube.com/watch?v=TxC_8Xllf-M" TargetMode="External"/><Relationship Id="rId299" Type="http://schemas.openxmlformats.org/officeDocument/2006/relationships/hyperlink" Target="https://www.youtube.com/watch?v=fyMRRD_YeRI" TargetMode="External"/><Relationship Id="rId671" Type="http://schemas.openxmlformats.org/officeDocument/2006/relationships/hyperlink" Target="https://www.youtube.com/watch?v=lkDfIrZy2VY" TargetMode="External"/><Relationship Id="rId727" Type="http://schemas.openxmlformats.org/officeDocument/2006/relationships/hyperlink" Target="https://www.youtube.com/watch?v=zEXu5K5eyCY" TargetMode="External"/><Relationship Id="rId21" Type="http://schemas.openxmlformats.org/officeDocument/2006/relationships/hyperlink" Target="https://www.youtube.com/watch?v=DMG2XD9_nTI" TargetMode="External"/><Relationship Id="rId63" Type="http://schemas.openxmlformats.org/officeDocument/2006/relationships/hyperlink" Target="https://www.youtube.com/watch?v=-3rtVbNkNNQ" TargetMode="External"/><Relationship Id="rId159" Type="http://schemas.openxmlformats.org/officeDocument/2006/relationships/hyperlink" Target="https://www.youtube.com/watch?v=2uOiM67vK6A" TargetMode="External"/><Relationship Id="rId324" Type="http://schemas.openxmlformats.org/officeDocument/2006/relationships/hyperlink" Target="https://www.youtube.com/watch?v=jQ47l4DT1BY" TargetMode="External"/><Relationship Id="rId366" Type="http://schemas.openxmlformats.org/officeDocument/2006/relationships/hyperlink" Target="https://www.youtube.com/watch?v=w2e5eqI49cE" TargetMode="External"/><Relationship Id="rId531" Type="http://schemas.openxmlformats.org/officeDocument/2006/relationships/hyperlink" Target="https://www.youtube.com/watch?v=log0y9fRklc" TargetMode="External"/><Relationship Id="rId573" Type="http://schemas.openxmlformats.org/officeDocument/2006/relationships/hyperlink" Target="https://www.youtube.com/watch?v=BsEY7XJTv70" TargetMode="External"/><Relationship Id="rId629" Type="http://schemas.openxmlformats.org/officeDocument/2006/relationships/hyperlink" Target="https://www.youtube.com/watch?v=az7GJp1YAXw" TargetMode="External"/><Relationship Id="rId170" Type="http://schemas.openxmlformats.org/officeDocument/2006/relationships/hyperlink" Target="https://www.youtube.com/watch?v=wgud4Fi47XA" TargetMode="External"/><Relationship Id="rId226" Type="http://schemas.openxmlformats.org/officeDocument/2006/relationships/hyperlink" Target="https://www.youtube.com/watch?v=7zvf9bnLgs8" TargetMode="External"/><Relationship Id="rId433" Type="http://schemas.openxmlformats.org/officeDocument/2006/relationships/hyperlink" Target="https://www.youtube.com/watch?v=tRgTeYpgv8c" TargetMode="External"/><Relationship Id="rId268" Type="http://schemas.openxmlformats.org/officeDocument/2006/relationships/hyperlink" Target="https://www.youtube.com/watch?v=R_G2Gd70LiY" TargetMode="External"/><Relationship Id="rId475" Type="http://schemas.openxmlformats.org/officeDocument/2006/relationships/hyperlink" Target="https://www.youtube.com/watch?v=VDqAX3plBww" TargetMode="External"/><Relationship Id="rId640" Type="http://schemas.openxmlformats.org/officeDocument/2006/relationships/hyperlink" Target="https://www.youtube.com/watch?v=5Qbkf3waru8" TargetMode="External"/><Relationship Id="rId682" Type="http://schemas.openxmlformats.org/officeDocument/2006/relationships/hyperlink" Target="https://www.youtube.com/watch?v=iwaHs0-q9l8" TargetMode="External"/><Relationship Id="rId738" Type="http://schemas.openxmlformats.org/officeDocument/2006/relationships/hyperlink" Target="https://www.youtube.com/watch?v=ZErxsCxSQsA" TargetMode="External"/><Relationship Id="rId32" Type="http://schemas.openxmlformats.org/officeDocument/2006/relationships/hyperlink" Target="https://www.youtube.com/watch?v=ryQMb29oX3s" TargetMode="External"/><Relationship Id="rId74" Type="http://schemas.openxmlformats.org/officeDocument/2006/relationships/hyperlink" Target="https://www.youtube.com/watch?v=YFmL65VsWdk" TargetMode="External"/><Relationship Id="rId128" Type="http://schemas.openxmlformats.org/officeDocument/2006/relationships/hyperlink" Target="https://www.youtube.com/watch?v=JErwMUETzvU" TargetMode="External"/><Relationship Id="rId335" Type="http://schemas.openxmlformats.org/officeDocument/2006/relationships/hyperlink" Target="https://www.youtube.com/watch?v=zgOMSgegwGk" TargetMode="External"/><Relationship Id="rId377" Type="http://schemas.openxmlformats.org/officeDocument/2006/relationships/hyperlink" Target="https://www.youtube.com/watch?v=AjEKOFHh4yM" TargetMode="External"/><Relationship Id="rId500" Type="http://schemas.openxmlformats.org/officeDocument/2006/relationships/hyperlink" Target="https://www.youtube.com/watch?v=1UT4aCq24wA" TargetMode="External"/><Relationship Id="rId542" Type="http://schemas.openxmlformats.org/officeDocument/2006/relationships/hyperlink" Target="https://www.youtube.com/watch?v=N20dY0-9Nio" TargetMode="External"/><Relationship Id="rId584" Type="http://schemas.openxmlformats.org/officeDocument/2006/relationships/hyperlink" Target="https://www.youtube.com/watch?v=sGXLoCpynsU" TargetMode="External"/><Relationship Id="rId5" Type="http://schemas.openxmlformats.org/officeDocument/2006/relationships/hyperlink" Target="https://www.youtube.com/watch?v=7WsGnkGob7A" TargetMode="External"/><Relationship Id="rId181" Type="http://schemas.openxmlformats.org/officeDocument/2006/relationships/hyperlink" Target="https://www.youtube.com/watch?v=qsCWK-TQVsk" TargetMode="External"/><Relationship Id="rId237" Type="http://schemas.openxmlformats.org/officeDocument/2006/relationships/hyperlink" Target="https://www.youtube.com/watch?v=GajqTVRZzfE" TargetMode="External"/><Relationship Id="rId402" Type="http://schemas.openxmlformats.org/officeDocument/2006/relationships/hyperlink" Target="https://www.youtube.com/watch?v=3zpg3MGhmyI" TargetMode="External"/><Relationship Id="rId279" Type="http://schemas.openxmlformats.org/officeDocument/2006/relationships/hyperlink" Target="https://www.youtube.com/watch?v=FKg_FjS3qZw" TargetMode="External"/><Relationship Id="rId444" Type="http://schemas.openxmlformats.org/officeDocument/2006/relationships/hyperlink" Target="https://www.youtube.com/watch?v=Kfqplhug-eA" TargetMode="External"/><Relationship Id="rId486" Type="http://schemas.openxmlformats.org/officeDocument/2006/relationships/hyperlink" Target="https://www.youtube.com/watch?v=G2ke7Higm-Y" TargetMode="External"/><Relationship Id="rId651" Type="http://schemas.openxmlformats.org/officeDocument/2006/relationships/hyperlink" Target="https://www.youtube.com/watch?v=9FgUTz996bs" TargetMode="External"/><Relationship Id="rId693" Type="http://schemas.openxmlformats.org/officeDocument/2006/relationships/hyperlink" Target="https://www.youtube.com/watch?v=7AYmPqY5iF4" TargetMode="External"/><Relationship Id="rId707" Type="http://schemas.openxmlformats.org/officeDocument/2006/relationships/hyperlink" Target="https://www.youtube.com/watch?v=k0FNC9LuJoo&amp;t=4s" TargetMode="External"/><Relationship Id="rId749" Type="http://schemas.openxmlformats.org/officeDocument/2006/relationships/hyperlink" Target="https://www.youtube.com/watch?v=DL5cLBZou3I" TargetMode="External"/><Relationship Id="rId43" Type="http://schemas.openxmlformats.org/officeDocument/2006/relationships/hyperlink" Target="https://www.youtube.com/watch?v=ufZ1BZcZzKI" TargetMode="External"/><Relationship Id="rId139" Type="http://schemas.openxmlformats.org/officeDocument/2006/relationships/hyperlink" Target="https://www.youtube.com/watch?v=7ZD3D4mAoaE" TargetMode="External"/><Relationship Id="rId290" Type="http://schemas.openxmlformats.org/officeDocument/2006/relationships/hyperlink" Target="https://www.youtube.com/watch?v=zILqg37PouM" TargetMode="External"/><Relationship Id="rId304" Type="http://schemas.openxmlformats.org/officeDocument/2006/relationships/hyperlink" Target="https://www.youtube.com/watch?v=59-D2X_vmlA" TargetMode="External"/><Relationship Id="rId346" Type="http://schemas.openxmlformats.org/officeDocument/2006/relationships/hyperlink" Target="https://www.youtube.com/watch?v=7cA62ZHlWx0" TargetMode="External"/><Relationship Id="rId388" Type="http://schemas.openxmlformats.org/officeDocument/2006/relationships/hyperlink" Target="https://www.youtube.com/watch?v=hFK3wIxZt3g" TargetMode="External"/><Relationship Id="rId511" Type="http://schemas.openxmlformats.org/officeDocument/2006/relationships/hyperlink" Target="https://www.youtube.com/watch?v=NeCQOUox8zc" TargetMode="External"/><Relationship Id="rId553" Type="http://schemas.openxmlformats.org/officeDocument/2006/relationships/hyperlink" Target="https://www.youtube.com/watch?v=R6bvpvI1_uY" TargetMode="External"/><Relationship Id="rId609" Type="http://schemas.openxmlformats.org/officeDocument/2006/relationships/hyperlink" Target="https://www.youtube.com/watch?v=4W3kmjNG_K8" TargetMode="External"/><Relationship Id="rId760" Type="http://schemas.openxmlformats.org/officeDocument/2006/relationships/comments" Target="../comments3.xml"/><Relationship Id="rId85" Type="http://schemas.openxmlformats.org/officeDocument/2006/relationships/hyperlink" Target="https://www.youtube.com/watch?v=z1wT-GurohQ" TargetMode="External"/><Relationship Id="rId150" Type="http://schemas.openxmlformats.org/officeDocument/2006/relationships/hyperlink" Target="https://www.youtube.com/watch?v=PjvzuUMMZs4" TargetMode="External"/><Relationship Id="rId192" Type="http://schemas.openxmlformats.org/officeDocument/2006/relationships/hyperlink" Target="https://www.youtube.com/watch?v=EWnc9FdyP7s" TargetMode="External"/><Relationship Id="rId206" Type="http://schemas.openxmlformats.org/officeDocument/2006/relationships/hyperlink" Target="https://www.youtube.com/watch?v=Dymxd9hAemA" TargetMode="External"/><Relationship Id="rId413" Type="http://schemas.openxmlformats.org/officeDocument/2006/relationships/hyperlink" Target="https://www.youtube.com/watch?v=JDOBTQ94-S4" TargetMode="External"/><Relationship Id="rId595" Type="http://schemas.openxmlformats.org/officeDocument/2006/relationships/hyperlink" Target="https://www.youtube.com/watch?v=YtD-Ro9OJRQ" TargetMode="External"/><Relationship Id="rId248" Type="http://schemas.openxmlformats.org/officeDocument/2006/relationships/hyperlink" Target="https://www.youtube.com/watch?v=R2XPp4eJXLk" TargetMode="External"/><Relationship Id="rId455" Type="http://schemas.openxmlformats.org/officeDocument/2006/relationships/hyperlink" Target="https://www.youtube.com/watch?v=Cuelsn9VyZQ" TargetMode="External"/><Relationship Id="rId497" Type="http://schemas.openxmlformats.org/officeDocument/2006/relationships/hyperlink" Target="https://www.youtube.com/watch?v=4xWwhXcAjhU" TargetMode="External"/><Relationship Id="rId620" Type="http://schemas.openxmlformats.org/officeDocument/2006/relationships/hyperlink" Target="https://www.youtube.com/watch?v=1k_PbRxkEqo" TargetMode="External"/><Relationship Id="rId662" Type="http://schemas.openxmlformats.org/officeDocument/2006/relationships/hyperlink" Target="https://www.youtube.com/watch?v=Ih4StVOa0Qs" TargetMode="External"/><Relationship Id="rId718" Type="http://schemas.openxmlformats.org/officeDocument/2006/relationships/hyperlink" Target="https://www.youtube.com/watch?v=3ytmTvor21A" TargetMode="External"/><Relationship Id="rId12" Type="http://schemas.openxmlformats.org/officeDocument/2006/relationships/hyperlink" Target="https://www.youtube.com/watch?v=2UnJMns3fjs" TargetMode="External"/><Relationship Id="rId108" Type="http://schemas.openxmlformats.org/officeDocument/2006/relationships/hyperlink" Target="https://www.youtube.com/watch?v=WMf0Mau2TzE" TargetMode="External"/><Relationship Id="rId315" Type="http://schemas.openxmlformats.org/officeDocument/2006/relationships/hyperlink" Target="https://www.youtube.com/watch?v=r2uhf3x6oH8" TargetMode="External"/><Relationship Id="rId357" Type="http://schemas.openxmlformats.org/officeDocument/2006/relationships/hyperlink" Target="https://www.youtube.com/watch?v=dlQfycnk550" TargetMode="External"/><Relationship Id="rId522" Type="http://schemas.openxmlformats.org/officeDocument/2006/relationships/hyperlink" Target="https://www.youtube.com/watch?v=xkyySDtO5HU" TargetMode="External"/><Relationship Id="rId54" Type="http://schemas.openxmlformats.org/officeDocument/2006/relationships/hyperlink" Target="https://www.youtube.com/watch?v=m3jwqSSyVkg" TargetMode="External"/><Relationship Id="rId96" Type="http://schemas.openxmlformats.org/officeDocument/2006/relationships/hyperlink" Target="https://www.youtube.com/watch?v=schP-IZS5Sw" TargetMode="External"/><Relationship Id="rId161" Type="http://schemas.openxmlformats.org/officeDocument/2006/relationships/hyperlink" Target="https://www.youtube.com/watch?v=yaOVnZ7W-Qc" TargetMode="External"/><Relationship Id="rId217" Type="http://schemas.openxmlformats.org/officeDocument/2006/relationships/hyperlink" Target="https://www.youtube.com/watch?v=30958J1ez4k" TargetMode="External"/><Relationship Id="rId399" Type="http://schemas.openxmlformats.org/officeDocument/2006/relationships/hyperlink" Target="https://www.youtube.com/watch?v=w1UAQGgnz4A" TargetMode="External"/><Relationship Id="rId564" Type="http://schemas.openxmlformats.org/officeDocument/2006/relationships/hyperlink" Target="https://www.youtube.com/watch?v=udkwSpjJnGk" TargetMode="External"/><Relationship Id="rId259" Type="http://schemas.openxmlformats.org/officeDocument/2006/relationships/hyperlink" Target="https://www.youtube.com/watch?v=VwTbkm1NN4Y" TargetMode="External"/><Relationship Id="rId424" Type="http://schemas.openxmlformats.org/officeDocument/2006/relationships/hyperlink" Target="https://www.youtube.com/watch?v=dzUx3zUv_yw" TargetMode="External"/><Relationship Id="rId466" Type="http://schemas.openxmlformats.org/officeDocument/2006/relationships/hyperlink" Target="https://www.youtube.com/watch?v=WfJvOgXp9SM" TargetMode="External"/><Relationship Id="rId631" Type="http://schemas.openxmlformats.org/officeDocument/2006/relationships/hyperlink" Target="https://www.youtube.com/watch?v=IS6hRiM7WuU" TargetMode="External"/><Relationship Id="rId673" Type="http://schemas.openxmlformats.org/officeDocument/2006/relationships/hyperlink" Target="https://www.youtube.com/watch?v=vzoIHUTieE0" TargetMode="External"/><Relationship Id="rId729" Type="http://schemas.openxmlformats.org/officeDocument/2006/relationships/hyperlink" Target="https://www.youtube.com/watch?v=7IXp156RgtQ" TargetMode="External"/><Relationship Id="rId23" Type="http://schemas.openxmlformats.org/officeDocument/2006/relationships/hyperlink" Target="https://www.youtube.com/watch?v=5LJPOCxc3E8" TargetMode="External"/><Relationship Id="rId119" Type="http://schemas.openxmlformats.org/officeDocument/2006/relationships/hyperlink" Target="https://www.youtube.com/watch?v=rdyZwjy8Wko" TargetMode="External"/><Relationship Id="rId270" Type="http://schemas.openxmlformats.org/officeDocument/2006/relationships/hyperlink" Target="https://www.youtube.com/watch?v=X4TDNzwe3s4" TargetMode="External"/><Relationship Id="rId326" Type="http://schemas.openxmlformats.org/officeDocument/2006/relationships/hyperlink" Target="https://www.youtube.com/watch?v=wXSD2PQznXI" TargetMode="External"/><Relationship Id="rId533" Type="http://schemas.openxmlformats.org/officeDocument/2006/relationships/hyperlink" Target="https://www.youtube.com/watch?v=gzOZ5Lo3n9Y" TargetMode="External"/><Relationship Id="rId65" Type="http://schemas.openxmlformats.org/officeDocument/2006/relationships/hyperlink" Target="https://www.youtube.com/watch?v=28dLjjiriJA" TargetMode="External"/><Relationship Id="rId130" Type="http://schemas.openxmlformats.org/officeDocument/2006/relationships/hyperlink" Target="https://www.youtube.com/watch?v=g-xyM5pVESg" TargetMode="External"/><Relationship Id="rId368" Type="http://schemas.openxmlformats.org/officeDocument/2006/relationships/hyperlink" Target="https://www.youtube.com/watch?v=yMRw4TF7CAk" TargetMode="External"/><Relationship Id="rId575" Type="http://schemas.openxmlformats.org/officeDocument/2006/relationships/hyperlink" Target="https://www.youtube.com/watch?v=C6XbkLOcyVs" TargetMode="External"/><Relationship Id="rId740" Type="http://schemas.openxmlformats.org/officeDocument/2006/relationships/hyperlink" Target="https://www.youtube.com/watch?v=VFJFvcNogFU" TargetMode="External"/><Relationship Id="rId172" Type="http://schemas.openxmlformats.org/officeDocument/2006/relationships/hyperlink" Target="https://www.youtube.com/watch?v=Au_HvuB2IQc" TargetMode="External"/><Relationship Id="rId228" Type="http://schemas.openxmlformats.org/officeDocument/2006/relationships/hyperlink" Target="https://www.youtube.com/watch?v=Th1s8XrKhnk" TargetMode="External"/><Relationship Id="rId435" Type="http://schemas.openxmlformats.org/officeDocument/2006/relationships/hyperlink" Target="https://www.youtube.com/watch?v=AefxKKTqv5I" TargetMode="External"/><Relationship Id="rId477" Type="http://schemas.openxmlformats.org/officeDocument/2006/relationships/hyperlink" Target="https://www.youtube.com/watch?v=rAWCL2ENS90" TargetMode="External"/><Relationship Id="rId600" Type="http://schemas.openxmlformats.org/officeDocument/2006/relationships/hyperlink" Target="https://www.youtube.com/watch?v=j53ZVDx4pYc" TargetMode="External"/><Relationship Id="rId642" Type="http://schemas.openxmlformats.org/officeDocument/2006/relationships/hyperlink" Target="https://www.youtube.com/watch?v=69M5XJQEYX4" TargetMode="External"/><Relationship Id="rId684" Type="http://schemas.openxmlformats.org/officeDocument/2006/relationships/hyperlink" Target="https://www.youtube.com/watch?v=vaRCmUwpmNk" TargetMode="External"/><Relationship Id="rId281" Type="http://schemas.openxmlformats.org/officeDocument/2006/relationships/hyperlink" Target="https://www.youtube.com/watch?v=-cC-ErXYdnI" TargetMode="External"/><Relationship Id="rId337" Type="http://schemas.openxmlformats.org/officeDocument/2006/relationships/hyperlink" Target="https://www.youtube.com/watch?v=MP4mGKSR2-0" TargetMode="External"/><Relationship Id="rId502" Type="http://schemas.openxmlformats.org/officeDocument/2006/relationships/hyperlink" Target="https://www.youtube.com/watch?v=a6bj2Qddmzk" TargetMode="External"/><Relationship Id="rId34" Type="http://schemas.openxmlformats.org/officeDocument/2006/relationships/hyperlink" Target="https://www.youtube.com/watch?v=lzMEDrUFlpw" TargetMode="External"/><Relationship Id="rId76" Type="http://schemas.openxmlformats.org/officeDocument/2006/relationships/hyperlink" Target="https://www.youtube.com/watch?v=y1fdkGgCt64" TargetMode="External"/><Relationship Id="rId141" Type="http://schemas.openxmlformats.org/officeDocument/2006/relationships/hyperlink" Target="https://www.youtube.com/watch?v=OBViSvvLu-s" TargetMode="External"/><Relationship Id="rId379" Type="http://schemas.openxmlformats.org/officeDocument/2006/relationships/hyperlink" Target="https://www.youtube.com/watch?v=Kg7UNGe9lik" TargetMode="External"/><Relationship Id="rId544" Type="http://schemas.openxmlformats.org/officeDocument/2006/relationships/hyperlink" Target="https://www.youtube.com/watch?v=3dgPn1KOovw" TargetMode="External"/><Relationship Id="rId586" Type="http://schemas.openxmlformats.org/officeDocument/2006/relationships/hyperlink" Target="https://www.youtube.com/watch?v=EfQbirNpLM8" TargetMode="External"/><Relationship Id="rId751" Type="http://schemas.openxmlformats.org/officeDocument/2006/relationships/hyperlink" Target="https://www.youtube.com/watch?v=GtSbmTRia5Y" TargetMode="External"/><Relationship Id="rId7" Type="http://schemas.openxmlformats.org/officeDocument/2006/relationships/hyperlink" Target="https://www.youtube.com/watch?v=PcNDlU0LyJk" TargetMode="External"/><Relationship Id="rId183" Type="http://schemas.openxmlformats.org/officeDocument/2006/relationships/hyperlink" Target="https://www.youtube.com/watch?v=MFVzVjuj90E" TargetMode="External"/><Relationship Id="rId239" Type="http://schemas.openxmlformats.org/officeDocument/2006/relationships/hyperlink" Target="https://www.youtube.com/watch?v=pfw-rEK12IA" TargetMode="External"/><Relationship Id="rId390" Type="http://schemas.openxmlformats.org/officeDocument/2006/relationships/hyperlink" Target="https://www.youtube.com/watch?v=J2klGHwzFFo" TargetMode="External"/><Relationship Id="rId404" Type="http://schemas.openxmlformats.org/officeDocument/2006/relationships/hyperlink" Target="https://www.youtube.com/watch?v=yCrftsxElf8" TargetMode="External"/><Relationship Id="rId446" Type="http://schemas.openxmlformats.org/officeDocument/2006/relationships/hyperlink" Target="https://www.youtube.com/watch?v=2Hmcjz_IH8I" TargetMode="External"/><Relationship Id="rId611" Type="http://schemas.openxmlformats.org/officeDocument/2006/relationships/hyperlink" Target="https://www.youtube.com/watch?v=RfiT3REVHxQ" TargetMode="External"/><Relationship Id="rId653" Type="http://schemas.openxmlformats.org/officeDocument/2006/relationships/hyperlink" Target="https://www.youtube.com/watch?v=_D2sWZSHDqg&amp;t=834s" TargetMode="External"/><Relationship Id="rId250" Type="http://schemas.openxmlformats.org/officeDocument/2006/relationships/hyperlink" Target="https://www.youtube.com/watch?v=Ow3nJA8fhhQ" TargetMode="External"/><Relationship Id="rId292" Type="http://schemas.openxmlformats.org/officeDocument/2006/relationships/hyperlink" Target="https://www.youtube.com/watch?v=-fhrU0xoCgk" TargetMode="External"/><Relationship Id="rId306" Type="http://schemas.openxmlformats.org/officeDocument/2006/relationships/hyperlink" Target="https://www.youtube.com/watch?v=7JNUG5Lyals" TargetMode="External"/><Relationship Id="rId488" Type="http://schemas.openxmlformats.org/officeDocument/2006/relationships/hyperlink" Target="https://www.youtube.com/watch?v=FQ3dpY5j5y8" TargetMode="External"/><Relationship Id="rId695" Type="http://schemas.openxmlformats.org/officeDocument/2006/relationships/hyperlink" Target="https://www.youtube.com/watch?v=OI3nL5YCIO8" TargetMode="External"/><Relationship Id="rId709" Type="http://schemas.openxmlformats.org/officeDocument/2006/relationships/hyperlink" Target="https://www.youtube.com/watch?v=VKbVHIgKbbo" TargetMode="External"/><Relationship Id="rId45" Type="http://schemas.openxmlformats.org/officeDocument/2006/relationships/hyperlink" Target="https://www.youtube.com/watch?v=FndfcBhZklU" TargetMode="External"/><Relationship Id="rId87" Type="http://schemas.openxmlformats.org/officeDocument/2006/relationships/hyperlink" Target="https://www.youtube.com/watch?v=BcDC-Op1hJc" TargetMode="External"/><Relationship Id="rId110" Type="http://schemas.openxmlformats.org/officeDocument/2006/relationships/hyperlink" Target="https://www.youtube.com/watch?v=CtiARMXwI0Q" TargetMode="External"/><Relationship Id="rId348" Type="http://schemas.openxmlformats.org/officeDocument/2006/relationships/hyperlink" Target="https://www.youtube.com/watch?v=5U64D5B9-O0" TargetMode="External"/><Relationship Id="rId513" Type="http://schemas.openxmlformats.org/officeDocument/2006/relationships/hyperlink" Target="https://www.youtube.com/watch?v=gPdm-EF13GU" TargetMode="External"/><Relationship Id="rId555" Type="http://schemas.openxmlformats.org/officeDocument/2006/relationships/hyperlink" Target="https://www.youtube.com/watch?v=3dYP3FhD3Po" TargetMode="External"/><Relationship Id="rId597" Type="http://schemas.openxmlformats.org/officeDocument/2006/relationships/hyperlink" Target="https://www.youtube.com/watch?v=MFeGLeUGf6Q" TargetMode="External"/><Relationship Id="rId720" Type="http://schemas.openxmlformats.org/officeDocument/2006/relationships/hyperlink" Target="https://www.youtube.com/watch?v=sEg8fP2ckhI" TargetMode="External"/><Relationship Id="rId152" Type="http://schemas.openxmlformats.org/officeDocument/2006/relationships/hyperlink" Target="https://www.youtube.com/watch?v=vKGL9b0x_K8" TargetMode="External"/><Relationship Id="rId194" Type="http://schemas.openxmlformats.org/officeDocument/2006/relationships/hyperlink" Target="https://www.youtube.com/watch?v=yVdcSMOWtxM" TargetMode="External"/><Relationship Id="rId208" Type="http://schemas.openxmlformats.org/officeDocument/2006/relationships/hyperlink" Target="https://www.youtube.com/watch?v=gU4jkSa9phY" TargetMode="External"/><Relationship Id="rId415" Type="http://schemas.openxmlformats.org/officeDocument/2006/relationships/hyperlink" Target="https://www.youtube.com/watch?v=61VsCIaQhX4" TargetMode="External"/><Relationship Id="rId457" Type="http://schemas.openxmlformats.org/officeDocument/2006/relationships/hyperlink" Target="https://www.youtube.com/watch?v=xVrbpqr1LEE" TargetMode="External"/><Relationship Id="rId622" Type="http://schemas.openxmlformats.org/officeDocument/2006/relationships/hyperlink" Target="https://www.youtube.com/watch?v=-pTe3fDFF7U" TargetMode="External"/><Relationship Id="rId261" Type="http://schemas.openxmlformats.org/officeDocument/2006/relationships/hyperlink" Target="https://www.youtube.com/watch?v=CouNRYMLDmY" TargetMode="External"/><Relationship Id="rId499" Type="http://schemas.openxmlformats.org/officeDocument/2006/relationships/hyperlink" Target="https://www.youtube.com/watch?v=udY03G3fVJQ" TargetMode="External"/><Relationship Id="rId664" Type="http://schemas.openxmlformats.org/officeDocument/2006/relationships/hyperlink" Target="https://www.youtube.com/watch?v=sZGlmV--sG4" TargetMode="External"/><Relationship Id="rId14" Type="http://schemas.openxmlformats.org/officeDocument/2006/relationships/hyperlink" Target="https://www.youtube.com/watch?v=Smd_3o5vtLo" TargetMode="External"/><Relationship Id="rId56" Type="http://schemas.openxmlformats.org/officeDocument/2006/relationships/hyperlink" Target="https://www.youtube.com/watch?v=JXjMYvGqqDE" TargetMode="External"/><Relationship Id="rId317" Type="http://schemas.openxmlformats.org/officeDocument/2006/relationships/hyperlink" Target="https://www.youtube.com/watch?v=hbcWYVaowqI" TargetMode="External"/><Relationship Id="rId359" Type="http://schemas.openxmlformats.org/officeDocument/2006/relationships/hyperlink" Target="https://www.youtube.com/watch?v=Xml5nVm8bg0" TargetMode="External"/><Relationship Id="rId524" Type="http://schemas.openxmlformats.org/officeDocument/2006/relationships/hyperlink" Target="https://www.youtube.com/watch?v=GCo89ggyUKw" TargetMode="External"/><Relationship Id="rId566" Type="http://schemas.openxmlformats.org/officeDocument/2006/relationships/hyperlink" Target="https://www.youtube.com/watch?v=tlCqUXsDwDc" TargetMode="External"/><Relationship Id="rId731" Type="http://schemas.openxmlformats.org/officeDocument/2006/relationships/hyperlink" Target="https://www.youtube.com/watch?v=3Pat7agSMJU&amp;t=22s" TargetMode="External"/><Relationship Id="rId98" Type="http://schemas.openxmlformats.org/officeDocument/2006/relationships/hyperlink" Target="https://www.youtube.com/watch?v=-WPYCv8jdJc" TargetMode="External"/><Relationship Id="rId121" Type="http://schemas.openxmlformats.org/officeDocument/2006/relationships/hyperlink" Target="https://www.youtube.com/watch?v=vSLKEwGRgbY" TargetMode="External"/><Relationship Id="rId163" Type="http://schemas.openxmlformats.org/officeDocument/2006/relationships/hyperlink" Target="https://www.youtube.com/watch?v=8iuVX1AkV_0" TargetMode="External"/><Relationship Id="rId219" Type="http://schemas.openxmlformats.org/officeDocument/2006/relationships/hyperlink" Target="https://www.youtube.com/watch?v=dXkhbNnOMy0" TargetMode="External"/><Relationship Id="rId370" Type="http://schemas.openxmlformats.org/officeDocument/2006/relationships/hyperlink" Target="https://www.youtube.com/watch?v=sTYcLqa56Z4" TargetMode="External"/><Relationship Id="rId426" Type="http://schemas.openxmlformats.org/officeDocument/2006/relationships/hyperlink" Target="https://www.youtube.com/watch?v=inpmzGJn2LU" TargetMode="External"/><Relationship Id="rId633" Type="http://schemas.openxmlformats.org/officeDocument/2006/relationships/hyperlink" Target="https://www.youtube.com/watch?v=6KN0GnYv6xQ" TargetMode="External"/><Relationship Id="rId230" Type="http://schemas.openxmlformats.org/officeDocument/2006/relationships/hyperlink" Target="https://www.youtube.com/watch?v=Cs9JbmZ0poM" TargetMode="External"/><Relationship Id="rId468" Type="http://schemas.openxmlformats.org/officeDocument/2006/relationships/hyperlink" Target="https://www.youtube.com/watch?v=NNu6sJz2cPI" TargetMode="External"/><Relationship Id="rId675" Type="http://schemas.openxmlformats.org/officeDocument/2006/relationships/hyperlink" Target="https://www.youtube.com/watch?v=1UnsEQPK3PQ" TargetMode="External"/><Relationship Id="rId25" Type="http://schemas.openxmlformats.org/officeDocument/2006/relationships/hyperlink" Target="https://www.youtube.com/watch?v=gbWoqwJKhbM" TargetMode="External"/><Relationship Id="rId67" Type="http://schemas.openxmlformats.org/officeDocument/2006/relationships/hyperlink" Target="https://www.youtube.com/watch?v=HZ6X5Xt1nS8" TargetMode="External"/><Relationship Id="rId272" Type="http://schemas.openxmlformats.org/officeDocument/2006/relationships/hyperlink" Target="https://www.youtube.com/watch?v=s1VIjn0qPQg" TargetMode="External"/><Relationship Id="rId328" Type="http://schemas.openxmlformats.org/officeDocument/2006/relationships/hyperlink" Target="https://www.youtube.com/watch?v=7bZemcM70W0" TargetMode="External"/><Relationship Id="rId535" Type="http://schemas.openxmlformats.org/officeDocument/2006/relationships/hyperlink" Target="https://www.youtube.com/watch?v=Y3j3g76ggFE" TargetMode="External"/><Relationship Id="rId577" Type="http://schemas.openxmlformats.org/officeDocument/2006/relationships/hyperlink" Target="https://www.youtube.com/watch?v=qiir-ZWT6yI" TargetMode="External"/><Relationship Id="rId700" Type="http://schemas.openxmlformats.org/officeDocument/2006/relationships/hyperlink" Target="https://www.youtube.com/watch?v=SNpVBfgzPmo" TargetMode="External"/><Relationship Id="rId742" Type="http://schemas.openxmlformats.org/officeDocument/2006/relationships/hyperlink" Target="https://www.youtube.com/watch?v=SPD35eCSgDk" TargetMode="External"/><Relationship Id="rId132" Type="http://schemas.openxmlformats.org/officeDocument/2006/relationships/hyperlink" Target="https://www.youtube.com/watch?v=3f7b_ZE5B1Y" TargetMode="External"/><Relationship Id="rId174" Type="http://schemas.openxmlformats.org/officeDocument/2006/relationships/hyperlink" Target="https://www.youtube.com/watch?v=MfzPrOKKZVo" TargetMode="External"/><Relationship Id="rId381" Type="http://schemas.openxmlformats.org/officeDocument/2006/relationships/hyperlink" Target="https://www.youtube.com/watch?v=VJZ4LARPMJU&amp;t=79s" TargetMode="External"/><Relationship Id="rId602" Type="http://schemas.openxmlformats.org/officeDocument/2006/relationships/hyperlink" Target="https://www.youtube.com/watch?v=84agoVdaycE" TargetMode="External"/><Relationship Id="rId241" Type="http://schemas.openxmlformats.org/officeDocument/2006/relationships/hyperlink" Target="https://www.youtube.com/watch?v=bEc29vVNLOc" TargetMode="External"/><Relationship Id="rId437" Type="http://schemas.openxmlformats.org/officeDocument/2006/relationships/hyperlink" Target="https://www.youtube.com/watch?v=o-395A-OrOQ" TargetMode="External"/><Relationship Id="rId479" Type="http://schemas.openxmlformats.org/officeDocument/2006/relationships/hyperlink" Target="https://www.youtube.com/watch?v=EMznloyYysU" TargetMode="External"/><Relationship Id="rId644" Type="http://schemas.openxmlformats.org/officeDocument/2006/relationships/hyperlink" Target="https://www.youtube.com/watch?v=1Gop0_4D5pE" TargetMode="External"/><Relationship Id="rId686" Type="http://schemas.openxmlformats.org/officeDocument/2006/relationships/hyperlink" Target="https://www.youtube.com/watch?v=4ZkNnR--tMY" TargetMode="External"/><Relationship Id="rId36" Type="http://schemas.openxmlformats.org/officeDocument/2006/relationships/hyperlink" Target="https://www.youtube.com/watch?v=ycnvyB8pDEM" TargetMode="External"/><Relationship Id="rId283" Type="http://schemas.openxmlformats.org/officeDocument/2006/relationships/hyperlink" Target="https://www.youtube.com/watch?v=O5i1SD7KFkI" TargetMode="External"/><Relationship Id="rId339" Type="http://schemas.openxmlformats.org/officeDocument/2006/relationships/hyperlink" Target="https://www.youtube.com/watch?v=LkTTH9gGQwA" TargetMode="External"/><Relationship Id="rId490" Type="http://schemas.openxmlformats.org/officeDocument/2006/relationships/hyperlink" Target="https://www.youtube.com/watch?v=ejkbEib1Otk" TargetMode="External"/><Relationship Id="rId504" Type="http://schemas.openxmlformats.org/officeDocument/2006/relationships/hyperlink" Target="https://www.youtube.com/watch?v=v2dy-2T9kRE" TargetMode="External"/><Relationship Id="rId546" Type="http://schemas.openxmlformats.org/officeDocument/2006/relationships/hyperlink" Target="https://www.youtube.com/watch?v=av1BWeMbl1Q" TargetMode="External"/><Relationship Id="rId711" Type="http://schemas.openxmlformats.org/officeDocument/2006/relationships/hyperlink" Target="https://www.youtube.com/watch?v=wKoUB00RmE0" TargetMode="External"/><Relationship Id="rId753" Type="http://schemas.openxmlformats.org/officeDocument/2006/relationships/hyperlink" Target="https://www.youtube.com/watch?v=ahKeSqFT0Nk" TargetMode="External"/><Relationship Id="rId78" Type="http://schemas.openxmlformats.org/officeDocument/2006/relationships/hyperlink" Target="https://www.youtube.com/watch?v=54lSHTtU68A" TargetMode="External"/><Relationship Id="rId101" Type="http://schemas.openxmlformats.org/officeDocument/2006/relationships/hyperlink" Target="https://www.youtube.com/watch?v=nmbYnYYpa6g" TargetMode="External"/><Relationship Id="rId143" Type="http://schemas.openxmlformats.org/officeDocument/2006/relationships/hyperlink" Target="https://www.youtube.com/watch?v=vdwHHPZwNEo" TargetMode="External"/><Relationship Id="rId185" Type="http://schemas.openxmlformats.org/officeDocument/2006/relationships/hyperlink" Target="https://www.youtube.com/watch?v=zqnotAbf-Cc" TargetMode="External"/><Relationship Id="rId350" Type="http://schemas.openxmlformats.org/officeDocument/2006/relationships/hyperlink" Target="https://www.youtube.com/watch?v=zKr-cYKprD8" TargetMode="External"/><Relationship Id="rId406" Type="http://schemas.openxmlformats.org/officeDocument/2006/relationships/hyperlink" Target="https://www.youtube.com/watch?v=AcHVZjv6cAs" TargetMode="External"/><Relationship Id="rId588" Type="http://schemas.openxmlformats.org/officeDocument/2006/relationships/hyperlink" Target="https://www.youtube.com/watch?v=6WJO3QlTEpg" TargetMode="External"/><Relationship Id="rId9" Type="http://schemas.openxmlformats.org/officeDocument/2006/relationships/hyperlink" Target="https://www.youtube.com/watch?v=0_EJXPWJN4E" TargetMode="External"/><Relationship Id="rId210" Type="http://schemas.openxmlformats.org/officeDocument/2006/relationships/hyperlink" Target="https://www.youtube.com/watch?v=zVH1ZOi2_yk" TargetMode="External"/><Relationship Id="rId392" Type="http://schemas.openxmlformats.org/officeDocument/2006/relationships/hyperlink" Target="https://www.youtube.com/watch?v=orOA4dPxE98" TargetMode="External"/><Relationship Id="rId448" Type="http://schemas.openxmlformats.org/officeDocument/2006/relationships/hyperlink" Target="https://www.youtube.com/watch?v=2U1DVGO8vo4" TargetMode="External"/><Relationship Id="rId613" Type="http://schemas.openxmlformats.org/officeDocument/2006/relationships/hyperlink" Target="https://www.youtube.com/watch?v=9hi4MG3BU0Y" TargetMode="External"/><Relationship Id="rId655" Type="http://schemas.openxmlformats.org/officeDocument/2006/relationships/hyperlink" Target="https://www.youtube.com/watch?v=N6IDjOR1OY0" TargetMode="External"/><Relationship Id="rId697" Type="http://schemas.openxmlformats.org/officeDocument/2006/relationships/hyperlink" Target="https://www.youtube.com/watch?v=vhlPSbFlxPI" TargetMode="External"/><Relationship Id="rId252" Type="http://schemas.openxmlformats.org/officeDocument/2006/relationships/hyperlink" Target="https://www.youtube.com/watch?v=JNg9hu1QURw" TargetMode="External"/><Relationship Id="rId294" Type="http://schemas.openxmlformats.org/officeDocument/2006/relationships/hyperlink" Target="https://www.youtube.com/watch?v=yZ08CJsgurU" TargetMode="External"/><Relationship Id="rId308" Type="http://schemas.openxmlformats.org/officeDocument/2006/relationships/hyperlink" Target="https://www.youtube.com/watch?v=2RlQdQoP4mE" TargetMode="External"/><Relationship Id="rId515" Type="http://schemas.openxmlformats.org/officeDocument/2006/relationships/hyperlink" Target="https://www.youtube.com/watch?v=wu_ONpNjikY" TargetMode="External"/><Relationship Id="rId722" Type="http://schemas.openxmlformats.org/officeDocument/2006/relationships/hyperlink" Target="https://www.youtube.com/watch?v=Ul-faWS75vA" TargetMode="External"/><Relationship Id="rId47" Type="http://schemas.openxmlformats.org/officeDocument/2006/relationships/hyperlink" Target="https://www.youtube.com/watch?v=K9s433rQloA" TargetMode="External"/><Relationship Id="rId89" Type="http://schemas.openxmlformats.org/officeDocument/2006/relationships/hyperlink" Target="https://www.youtube.com/watch?v=Wrs0XEoFHAM" TargetMode="External"/><Relationship Id="rId112" Type="http://schemas.openxmlformats.org/officeDocument/2006/relationships/hyperlink" Target="https://www.youtube.com/watch?v=nQhpJFt2KG8" TargetMode="External"/><Relationship Id="rId154" Type="http://schemas.openxmlformats.org/officeDocument/2006/relationships/hyperlink" Target="https://www.youtube.com/watch?v=R7mzbp-9vbk" TargetMode="External"/><Relationship Id="rId361" Type="http://schemas.openxmlformats.org/officeDocument/2006/relationships/hyperlink" Target="https://www.youtube.com/watch?v=QT3p6iGNrkU" TargetMode="External"/><Relationship Id="rId557" Type="http://schemas.openxmlformats.org/officeDocument/2006/relationships/hyperlink" Target="https://www.youtube.com/watch?v=07rLdtPRbEE" TargetMode="External"/><Relationship Id="rId599" Type="http://schemas.openxmlformats.org/officeDocument/2006/relationships/hyperlink" Target="https://www.youtube.com/watch?v=ZoDHsv06lNI" TargetMode="External"/><Relationship Id="rId196" Type="http://schemas.openxmlformats.org/officeDocument/2006/relationships/hyperlink" Target="https://www.youtube.com/watch?v=L2rJctVLi3M" TargetMode="External"/><Relationship Id="rId417" Type="http://schemas.openxmlformats.org/officeDocument/2006/relationships/hyperlink" Target="https://www.youtube.com/watch?v=bF-3L4O8Nq8" TargetMode="External"/><Relationship Id="rId459" Type="http://schemas.openxmlformats.org/officeDocument/2006/relationships/hyperlink" Target="https://www.youtube.com/watch?v=5HrBZvxcPmY" TargetMode="External"/><Relationship Id="rId624" Type="http://schemas.openxmlformats.org/officeDocument/2006/relationships/hyperlink" Target="https://www.youtube.com/watch?v=b96t52xbmO8" TargetMode="External"/><Relationship Id="rId666" Type="http://schemas.openxmlformats.org/officeDocument/2006/relationships/hyperlink" Target="https://www.youtube.com/watch?v=EXkq2inhXiw" TargetMode="External"/><Relationship Id="rId16" Type="http://schemas.openxmlformats.org/officeDocument/2006/relationships/hyperlink" Target="https://www.youtube.com/watch?v=NCOKqHoIW7M" TargetMode="External"/><Relationship Id="rId221" Type="http://schemas.openxmlformats.org/officeDocument/2006/relationships/hyperlink" Target="https://www.youtube.com/watch?v=mLEhBqCBBYE" TargetMode="External"/><Relationship Id="rId263" Type="http://schemas.openxmlformats.org/officeDocument/2006/relationships/hyperlink" Target="https://www.youtube.com/watch?v=ziCW-l-SXRM" TargetMode="External"/><Relationship Id="rId319" Type="http://schemas.openxmlformats.org/officeDocument/2006/relationships/hyperlink" Target="https://www.youtube.com/watch?v=fwbLw9W9GC8" TargetMode="External"/><Relationship Id="rId470" Type="http://schemas.openxmlformats.org/officeDocument/2006/relationships/hyperlink" Target="https://www.youtube.com/watch?v=GiNhw1WJNXc" TargetMode="External"/><Relationship Id="rId526" Type="http://schemas.openxmlformats.org/officeDocument/2006/relationships/hyperlink" Target="https://www.youtube.com/watch?v=aRzq_l_Rmcc" TargetMode="External"/><Relationship Id="rId58" Type="http://schemas.openxmlformats.org/officeDocument/2006/relationships/hyperlink" Target="https://www.youtube.com/watch?v=xtHzknvaS7s" TargetMode="External"/><Relationship Id="rId123" Type="http://schemas.openxmlformats.org/officeDocument/2006/relationships/hyperlink" Target="https://www.youtube.com/watch?v=qDcBHNXLxdc" TargetMode="External"/><Relationship Id="rId330" Type="http://schemas.openxmlformats.org/officeDocument/2006/relationships/hyperlink" Target="https://www.youtube.com/watch?v=322EiuTqg7w" TargetMode="External"/><Relationship Id="rId568" Type="http://schemas.openxmlformats.org/officeDocument/2006/relationships/hyperlink" Target="https://www.youtube.com/watch?v=aBwX_u__31I" TargetMode="External"/><Relationship Id="rId733" Type="http://schemas.openxmlformats.org/officeDocument/2006/relationships/hyperlink" Target="https://www.youtube.com/watch?v=h4ZgKKlmUl0&amp;t=481s" TargetMode="External"/><Relationship Id="rId165" Type="http://schemas.openxmlformats.org/officeDocument/2006/relationships/hyperlink" Target="https://www.youtube.com/watch?v=Um1LJAfSPoo" TargetMode="External"/><Relationship Id="rId372" Type="http://schemas.openxmlformats.org/officeDocument/2006/relationships/hyperlink" Target="https://www.youtube.com/watch?v=kKbQvD24QPY" TargetMode="External"/><Relationship Id="rId428" Type="http://schemas.openxmlformats.org/officeDocument/2006/relationships/hyperlink" Target="https://www.youtube.com/watch?v=aASsLwbe6kY" TargetMode="External"/><Relationship Id="rId635" Type="http://schemas.openxmlformats.org/officeDocument/2006/relationships/hyperlink" Target="https://www.youtube.com/watch?v=OdRuRzl5pwg" TargetMode="External"/><Relationship Id="rId677" Type="http://schemas.openxmlformats.org/officeDocument/2006/relationships/hyperlink" Target="https://www.youtube.com/watch?v=Lrh5zQHEIk4" TargetMode="External"/><Relationship Id="rId232" Type="http://schemas.openxmlformats.org/officeDocument/2006/relationships/hyperlink" Target="https://www.youtube.com/watch?v=QfYz6BBYpWg" TargetMode="External"/><Relationship Id="rId274" Type="http://schemas.openxmlformats.org/officeDocument/2006/relationships/hyperlink" Target="https://www.youtube.com/watch?v=m9xF54UZFuY" TargetMode="External"/><Relationship Id="rId481" Type="http://schemas.openxmlformats.org/officeDocument/2006/relationships/hyperlink" Target="https://www.youtube.com/watch?v=-HWLO-7d98U" TargetMode="External"/><Relationship Id="rId702" Type="http://schemas.openxmlformats.org/officeDocument/2006/relationships/hyperlink" Target="https://www.youtube.com/watch?v=g8GW7DlPr4g" TargetMode="External"/><Relationship Id="rId27" Type="http://schemas.openxmlformats.org/officeDocument/2006/relationships/hyperlink" Target="https://www.youtube.com/watch?v=WsjxXfklatk" TargetMode="External"/><Relationship Id="rId69" Type="http://schemas.openxmlformats.org/officeDocument/2006/relationships/hyperlink" Target="https://www.youtube.com/watch?v=M-zdPqtp9Kk" TargetMode="External"/><Relationship Id="rId134" Type="http://schemas.openxmlformats.org/officeDocument/2006/relationships/hyperlink" Target="https://www.youtube.com/watch?v=hWBzG7eVqVg" TargetMode="External"/><Relationship Id="rId537" Type="http://schemas.openxmlformats.org/officeDocument/2006/relationships/hyperlink" Target="https://www.youtube.com/watch?v=WzACbsbv3Mc" TargetMode="External"/><Relationship Id="rId579" Type="http://schemas.openxmlformats.org/officeDocument/2006/relationships/hyperlink" Target="https://www.youtube.com/watch?v=6PUBS8MXVzc" TargetMode="External"/><Relationship Id="rId744" Type="http://schemas.openxmlformats.org/officeDocument/2006/relationships/hyperlink" Target="https://www.youtube.com/watch?v=xCLLCYBg7Zc" TargetMode="External"/><Relationship Id="rId80" Type="http://schemas.openxmlformats.org/officeDocument/2006/relationships/hyperlink" Target="https://www.youtube.com/watch?v=aXm-YqwVmbs" TargetMode="External"/><Relationship Id="rId176" Type="http://schemas.openxmlformats.org/officeDocument/2006/relationships/hyperlink" Target="https://www.youtube.com/watch?v=pO9qCeA640E" TargetMode="External"/><Relationship Id="rId341" Type="http://schemas.openxmlformats.org/officeDocument/2006/relationships/hyperlink" Target="https://www.youtube.com/watch?v=oeJfmsvMRBs" TargetMode="External"/><Relationship Id="rId383" Type="http://schemas.openxmlformats.org/officeDocument/2006/relationships/hyperlink" Target="https://www.youtube.com/watch?v=4fTC0cZiBus" TargetMode="External"/><Relationship Id="rId439" Type="http://schemas.openxmlformats.org/officeDocument/2006/relationships/hyperlink" Target="https://www.youtube.com/watch?v=-JT1qlD0wPQ" TargetMode="External"/><Relationship Id="rId590" Type="http://schemas.openxmlformats.org/officeDocument/2006/relationships/hyperlink" Target="https://www.youtube.com/watch?v=k8zAYJDE01E" TargetMode="External"/><Relationship Id="rId604" Type="http://schemas.openxmlformats.org/officeDocument/2006/relationships/hyperlink" Target="https://www.youtube.com/watch?v=0gtyqapBB3A" TargetMode="External"/><Relationship Id="rId646" Type="http://schemas.openxmlformats.org/officeDocument/2006/relationships/hyperlink" Target="https://www.youtube.com/watch?v=1P_XO3xfTCs" TargetMode="External"/><Relationship Id="rId201" Type="http://schemas.openxmlformats.org/officeDocument/2006/relationships/hyperlink" Target="https://www.youtube.com/watch?v=9IzjjqFO5c8" TargetMode="External"/><Relationship Id="rId243" Type="http://schemas.openxmlformats.org/officeDocument/2006/relationships/hyperlink" Target="https://www.youtube.com/watch?v=3asYCknfoMo" TargetMode="External"/><Relationship Id="rId285" Type="http://schemas.openxmlformats.org/officeDocument/2006/relationships/hyperlink" Target="https://www.youtube.com/watch?v=JbxzX8kwig4" TargetMode="External"/><Relationship Id="rId450" Type="http://schemas.openxmlformats.org/officeDocument/2006/relationships/hyperlink" Target="https://www.youtube.com/watch?v=lJLoAHZxMWE" TargetMode="External"/><Relationship Id="rId506" Type="http://schemas.openxmlformats.org/officeDocument/2006/relationships/hyperlink" Target="https://www.youtube.com/watch?v=8Fyp5gw_HGc&amp;t=19s" TargetMode="External"/><Relationship Id="rId688" Type="http://schemas.openxmlformats.org/officeDocument/2006/relationships/hyperlink" Target="https://www.youtube.com/watch?v=xAicQnL_abA" TargetMode="External"/><Relationship Id="rId38" Type="http://schemas.openxmlformats.org/officeDocument/2006/relationships/hyperlink" Target="https://www.youtube.com/watch?v=VeR7IhIkDk0" TargetMode="External"/><Relationship Id="rId103" Type="http://schemas.openxmlformats.org/officeDocument/2006/relationships/hyperlink" Target="https://www.youtube.com/watch?v=8RSu4ymCgp4" TargetMode="External"/><Relationship Id="rId310" Type="http://schemas.openxmlformats.org/officeDocument/2006/relationships/hyperlink" Target="https://www.youtube.com/watch?v=t5AEphve0P8" TargetMode="External"/><Relationship Id="rId492" Type="http://schemas.openxmlformats.org/officeDocument/2006/relationships/hyperlink" Target="https://www.youtube.com/watch?v=9fu_xDvkBMk" TargetMode="External"/><Relationship Id="rId548" Type="http://schemas.openxmlformats.org/officeDocument/2006/relationships/hyperlink" Target="https://www.youtube.com/watch?v=joPLKP546hk" TargetMode="External"/><Relationship Id="rId713" Type="http://schemas.openxmlformats.org/officeDocument/2006/relationships/hyperlink" Target="https://www.youtube.com/watch?v=Ts09Fp7M53k" TargetMode="External"/><Relationship Id="rId755" Type="http://schemas.openxmlformats.org/officeDocument/2006/relationships/hyperlink" Target="https://www.youtube.com/watch?v=9jjsiAFVdXc" TargetMode="External"/><Relationship Id="rId91" Type="http://schemas.openxmlformats.org/officeDocument/2006/relationships/hyperlink" Target="https://www.youtube.com/watch?v=G3NpQQMh8jQ" TargetMode="External"/><Relationship Id="rId145" Type="http://schemas.openxmlformats.org/officeDocument/2006/relationships/hyperlink" Target="https://www.youtube.com/watch?v=75OFJ9IX4tI" TargetMode="External"/><Relationship Id="rId187" Type="http://schemas.openxmlformats.org/officeDocument/2006/relationships/hyperlink" Target="https://www.youtube.com/watch?v=NfO_yqDrGWs" TargetMode="External"/><Relationship Id="rId352" Type="http://schemas.openxmlformats.org/officeDocument/2006/relationships/hyperlink" Target="https://www.youtube.com/watch?v=8xbYHg11ROo" TargetMode="External"/><Relationship Id="rId394" Type="http://schemas.openxmlformats.org/officeDocument/2006/relationships/hyperlink" Target="https://www.youtube.com/watch?v=dlfE6JbvIYI" TargetMode="External"/><Relationship Id="rId408" Type="http://schemas.openxmlformats.org/officeDocument/2006/relationships/hyperlink" Target="https://www.youtube.com/watch?v=GDQ-FTObhak" TargetMode="External"/><Relationship Id="rId615" Type="http://schemas.openxmlformats.org/officeDocument/2006/relationships/hyperlink" Target="https://www.youtube.com/watch?v=XWeFa6jUiPw" TargetMode="External"/><Relationship Id="rId212" Type="http://schemas.openxmlformats.org/officeDocument/2006/relationships/hyperlink" Target="https://www.youtube.com/watch?v=AOQPqjRx-0c" TargetMode="External"/><Relationship Id="rId254" Type="http://schemas.openxmlformats.org/officeDocument/2006/relationships/hyperlink" Target="https://www.youtube.com/watch?v=xjZO-uNelDI" TargetMode="External"/><Relationship Id="rId657" Type="http://schemas.openxmlformats.org/officeDocument/2006/relationships/hyperlink" Target="https://www.youtube.com/watch?v=eQBirhrwc3E" TargetMode="External"/><Relationship Id="rId699" Type="http://schemas.openxmlformats.org/officeDocument/2006/relationships/hyperlink" Target="https://www.youtube.com/watch?v=WzgR7yTQNzY" TargetMode="External"/><Relationship Id="rId49" Type="http://schemas.openxmlformats.org/officeDocument/2006/relationships/hyperlink" Target="https://www.youtube.com/watch?v=Yhp3rFuo5Cw" TargetMode="External"/><Relationship Id="rId114" Type="http://schemas.openxmlformats.org/officeDocument/2006/relationships/hyperlink" Target="https://www.youtube.com/watch?v=iFLc0n8RSAA" TargetMode="External"/><Relationship Id="rId296" Type="http://schemas.openxmlformats.org/officeDocument/2006/relationships/hyperlink" Target="https://www.youtube.com/watch?v=p3i_mI87a3E" TargetMode="External"/><Relationship Id="rId461" Type="http://schemas.openxmlformats.org/officeDocument/2006/relationships/hyperlink" Target="https://www.youtube.com/watch?v=9Zummy0j6Ws" TargetMode="External"/><Relationship Id="rId517" Type="http://schemas.openxmlformats.org/officeDocument/2006/relationships/hyperlink" Target="https://www.youtube.com/watch?v=S9RImbEoWYA" TargetMode="External"/><Relationship Id="rId559" Type="http://schemas.openxmlformats.org/officeDocument/2006/relationships/hyperlink" Target="https://www.youtube.com/watch?v=Pe53dUS_mHE" TargetMode="External"/><Relationship Id="rId724" Type="http://schemas.openxmlformats.org/officeDocument/2006/relationships/hyperlink" Target="https://www.youtube.com/watch?v=4ej2lqB-kjM" TargetMode="External"/><Relationship Id="rId60" Type="http://schemas.openxmlformats.org/officeDocument/2006/relationships/hyperlink" Target="https://www.youtube.com/watch?v=sc4OOSLMiQQ" TargetMode="External"/><Relationship Id="rId156" Type="http://schemas.openxmlformats.org/officeDocument/2006/relationships/hyperlink" Target="https://www.youtube.com/watch?v=5bAuJCTjg8s" TargetMode="External"/><Relationship Id="rId198" Type="http://schemas.openxmlformats.org/officeDocument/2006/relationships/hyperlink" Target="https://www.youtube.com/watch?v=U37L8EPVc5s" TargetMode="External"/><Relationship Id="rId321" Type="http://schemas.openxmlformats.org/officeDocument/2006/relationships/hyperlink" Target="https://www.youtube.com/watch?v=tD7VxQAIPLM" TargetMode="External"/><Relationship Id="rId363" Type="http://schemas.openxmlformats.org/officeDocument/2006/relationships/hyperlink" Target="https://www.youtube.com/watch?v=Lg0JLlBHCgA" TargetMode="External"/><Relationship Id="rId419" Type="http://schemas.openxmlformats.org/officeDocument/2006/relationships/hyperlink" Target="https://www.youtube.com/watch?v=KXamV4OZjYs" TargetMode="External"/><Relationship Id="rId570" Type="http://schemas.openxmlformats.org/officeDocument/2006/relationships/hyperlink" Target="https://www.youtube.com/watch?v=KYhdz2LiDLA" TargetMode="External"/><Relationship Id="rId626" Type="http://schemas.openxmlformats.org/officeDocument/2006/relationships/hyperlink" Target="https://www.youtube.com/watch?v=LAZPY_rTJLU" TargetMode="External"/><Relationship Id="rId223" Type="http://schemas.openxmlformats.org/officeDocument/2006/relationships/hyperlink" Target="https://www.youtube.com/watch?v=kmJLZRzZhUA" TargetMode="External"/><Relationship Id="rId430" Type="http://schemas.openxmlformats.org/officeDocument/2006/relationships/hyperlink" Target="https://www.youtube.com/watch?v=PWZrF-TGsWo" TargetMode="External"/><Relationship Id="rId668" Type="http://schemas.openxmlformats.org/officeDocument/2006/relationships/hyperlink" Target="https://www.youtube.com/watch?v=D559dD7btfo" TargetMode="External"/><Relationship Id="rId18" Type="http://schemas.openxmlformats.org/officeDocument/2006/relationships/hyperlink" Target="https://www.youtube.com/watch?v=0Y3z-QStbk8" TargetMode="External"/><Relationship Id="rId265" Type="http://schemas.openxmlformats.org/officeDocument/2006/relationships/hyperlink" Target="https://www.youtube.com/watch?v=hH3jbt-s4aY" TargetMode="External"/><Relationship Id="rId472" Type="http://schemas.openxmlformats.org/officeDocument/2006/relationships/hyperlink" Target="https://www.youtube.com/watch?v=gF2CbaL7t6g" TargetMode="External"/><Relationship Id="rId528" Type="http://schemas.openxmlformats.org/officeDocument/2006/relationships/hyperlink" Target="https://www.youtube.com/watch?v=ozdJ_kTaZcc" TargetMode="External"/><Relationship Id="rId735" Type="http://schemas.openxmlformats.org/officeDocument/2006/relationships/hyperlink" Target="https://www.youtube.com/watch?v=aPfBxS4huSc" TargetMode="External"/><Relationship Id="rId125" Type="http://schemas.openxmlformats.org/officeDocument/2006/relationships/hyperlink" Target="https://www.youtube.com/watch?v=UrWQfScMALY" TargetMode="External"/><Relationship Id="rId167" Type="http://schemas.openxmlformats.org/officeDocument/2006/relationships/hyperlink" Target="https://www.youtube.com/watch?v=Z7B5IZZhoAI" TargetMode="External"/><Relationship Id="rId332" Type="http://schemas.openxmlformats.org/officeDocument/2006/relationships/hyperlink" Target="https://www.youtube.com/watch?v=3eTjsY7w5kM" TargetMode="External"/><Relationship Id="rId374" Type="http://schemas.openxmlformats.org/officeDocument/2006/relationships/hyperlink" Target="https://www.youtube.com/watch?v=wzPkggokfLg" TargetMode="External"/><Relationship Id="rId581" Type="http://schemas.openxmlformats.org/officeDocument/2006/relationships/hyperlink" Target="https://www.youtube.com/watch?v=vTz9mFEgYQU" TargetMode="External"/><Relationship Id="rId71" Type="http://schemas.openxmlformats.org/officeDocument/2006/relationships/hyperlink" Target="https://www.youtube.com/watch?v=OpsoPcAUMbw" TargetMode="External"/><Relationship Id="rId234" Type="http://schemas.openxmlformats.org/officeDocument/2006/relationships/hyperlink" Target="https://www.youtube.com/watch?v=iY88UCitwGY" TargetMode="External"/><Relationship Id="rId637" Type="http://schemas.openxmlformats.org/officeDocument/2006/relationships/hyperlink" Target="https://www.youtube.com/watch?v=p08RUDejFXs" TargetMode="External"/><Relationship Id="rId679" Type="http://schemas.openxmlformats.org/officeDocument/2006/relationships/hyperlink" Target="https://www.youtube.com/watch?v=RJSsEA6fpJE" TargetMode="External"/><Relationship Id="rId2" Type="http://schemas.openxmlformats.org/officeDocument/2006/relationships/hyperlink" Target="https://www.youtube.com/watch?v=jKuCWHsoXmQ" TargetMode="External"/><Relationship Id="rId29" Type="http://schemas.openxmlformats.org/officeDocument/2006/relationships/hyperlink" Target="https://www.youtube.com/watch?v=C3_6Ub1GnfA" TargetMode="External"/><Relationship Id="rId276" Type="http://schemas.openxmlformats.org/officeDocument/2006/relationships/hyperlink" Target="https://www.youtube.com/watch?v=w5KPpzfrQQY" TargetMode="External"/><Relationship Id="rId441" Type="http://schemas.openxmlformats.org/officeDocument/2006/relationships/hyperlink" Target="https://www.youtube.com/watch?v=adov37an6hU" TargetMode="External"/><Relationship Id="rId483" Type="http://schemas.openxmlformats.org/officeDocument/2006/relationships/hyperlink" Target="https://www.youtube.com/watch?v=pIn71L7Kv9Q" TargetMode="External"/><Relationship Id="rId539" Type="http://schemas.openxmlformats.org/officeDocument/2006/relationships/hyperlink" Target="https://www.youtube.com/watch?v=a30EnICYBUA" TargetMode="External"/><Relationship Id="rId690" Type="http://schemas.openxmlformats.org/officeDocument/2006/relationships/hyperlink" Target="https://www.youtube.com/watch?v=qqDl6coS7wg" TargetMode="External"/><Relationship Id="rId704" Type="http://schemas.openxmlformats.org/officeDocument/2006/relationships/hyperlink" Target="https://www.youtube.com/watch?v=DMReaVWJGFE" TargetMode="External"/><Relationship Id="rId746" Type="http://schemas.openxmlformats.org/officeDocument/2006/relationships/hyperlink" Target="https://www.youtube.com/watch?v=wfQX8QWcWgI" TargetMode="External"/><Relationship Id="rId40" Type="http://schemas.openxmlformats.org/officeDocument/2006/relationships/hyperlink" Target="https://www.youtube.com/watch?v=THua8SMPtK4" TargetMode="External"/><Relationship Id="rId136" Type="http://schemas.openxmlformats.org/officeDocument/2006/relationships/hyperlink" Target="https://www.youtube.com/watch?v=qd7yTtTb_Fc" TargetMode="External"/><Relationship Id="rId178" Type="http://schemas.openxmlformats.org/officeDocument/2006/relationships/hyperlink" Target="https://www.youtube.com/watch?v=cpZPvFvzNlc" TargetMode="External"/><Relationship Id="rId301" Type="http://schemas.openxmlformats.org/officeDocument/2006/relationships/hyperlink" Target="https://www.youtube.com/watch?v=tBf6vZKjL9w" TargetMode="External"/><Relationship Id="rId343" Type="http://schemas.openxmlformats.org/officeDocument/2006/relationships/hyperlink" Target="https://www.youtube.com/watch?v=Cv8kec-TugY" TargetMode="External"/><Relationship Id="rId550" Type="http://schemas.openxmlformats.org/officeDocument/2006/relationships/hyperlink" Target="https://www.youtube.com/watch?v=N1wkN3CKqHY" TargetMode="External"/><Relationship Id="rId82" Type="http://schemas.openxmlformats.org/officeDocument/2006/relationships/hyperlink" Target="https://www.youtube.com/watch?v=knJJGEYwaZw" TargetMode="External"/><Relationship Id="rId203" Type="http://schemas.openxmlformats.org/officeDocument/2006/relationships/hyperlink" Target="https://www.youtube.com/watch?v=XeCuvEX-tow" TargetMode="External"/><Relationship Id="rId385" Type="http://schemas.openxmlformats.org/officeDocument/2006/relationships/hyperlink" Target="https://www.youtube.com/watch?v=Ly_KKukp01g" TargetMode="External"/><Relationship Id="rId592" Type="http://schemas.openxmlformats.org/officeDocument/2006/relationships/hyperlink" Target="https://www.youtube.com/watch?v=B3K5KRgT0oE" TargetMode="External"/><Relationship Id="rId606" Type="http://schemas.openxmlformats.org/officeDocument/2006/relationships/hyperlink" Target="https://www.youtube.com/watch?v=DrTFGS7SoCg" TargetMode="External"/><Relationship Id="rId648" Type="http://schemas.openxmlformats.org/officeDocument/2006/relationships/hyperlink" Target="https://www.youtube.com/watch?v=F2WG7neA31s" TargetMode="External"/><Relationship Id="rId245" Type="http://schemas.openxmlformats.org/officeDocument/2006/relationships/hyperlink" Target="https://www.youtube.com/watch?v=TbQkh6axHEM" TargetMode="External"/><Relationship Id="rId287" Type="http://schemas.openxmlformats.org/officeDocument/2006/relationships/hyperlink" Target="https://www.youtube.com/watch?v=0-Ishanuvj8" TargetMode="External"/><Relationship Id="rId410" Type="http://schemas.openxmlformats.org/officeDocument/2006/relationships/hyperlink" Target="https://www.youtube.com/watch?v=OAcu0ZHtcXc" TargetMode="External"/><Relationship Id="rId452" Type="http://schemas.openxmlformats.org/officeDocument/2006/relationships/hyperlink" Target="https://www.youtube.com/watch?v=t5tjD9qq-98" TargetMode="External"/><Relationship Id="rId494" Type="http://schemas.openxmlformats.org/officeDocument/2006/relationships/hyperlink" Target="https://www.youtube.com/watch?v=C-AklzjB96w" TargetMode="External"/><Relationship Id="rId508" Type="http://schemas.openxmlformats.org/officeDocument/2006/relationships/hyperlink" Target="https://www.youtube.com/watch?v=ll-fhgVbj1I" TargetMode="External"/><Relationship Id="rId715" Type="http://schemas.openxmlformats.org/officeDocument/2006/relationships/hyperlink" Target="https://www.youtube.com/watch?v=1wYg5d-4aVg" TargetMode="External"/><Relationship Id="rId105" Type="http://schemas.openxmlformats.org/officeDocument/2006/relationships/hyperlink" Target="https://www.youtube.com/watch?v=k_PhmmAyLFg" TargetMode="External"/><Relationship Id="rId147" Type="http://schemas.openxmlformats.org/officeDocument/2006/relationships/hyperlink" Target="https://www.youtube.com/watch?v=cKIAV15AZcI" TargetMode="External"/><Relationship Id="rId312" Type="http://schemas.openxmlformats.org/officeDocument/2006/relationships/hyperlink" Target="https://www.youtube.com/watch?v=Iimv8qJijTE" TargetMode="External"/><Relationship Id="rId354" Type="http://schemas.openxmlformats.org/officeDocument/2006/relationships/hyperlink" Target="https://www.youtube.com/watch?v=JkoZriLo3fA" TargetMode="External"/><Relationship Id="rId757" Type="http://schemas.openxmlformats.org/officeDocument/2006/relationships/hyperlink" Target="https://www.youtube.com/watch?v=79r5KYH0nBI" TargetMode="External"/><Relationship Id="rId51" Type="http://schemas.openxmlformats.org/officeDocument/2006/relationships/hyperlink" Target="https://www.youtube.com/watch?v=vHWsmGyjOk0" TargetMode="External"/><Relationship Id="rId93" Type="http://schemas.openxmlformats.org/officeDocument/2006/relationships/hyperlink" Target="https://www.youtube.com/watch?v=0uPW7Jf9y7o" TargetMode="External"/><Relationship Id="rId189" Type="http://schemas.openxmlformats.org/officeDocument/2006/relationships/hyperlink" Target="https://www.youtube.com/watch?v=0-LZkVdXTnc" TargetMode="External"/><Relationship Id="rId396" Type="http://schemas.openxmlformats.org/officeDocument/2006/relationships/hyperlink" Target="https://www.youtube.com/watch?v=cUULt5zHp0k" TargetMode="External"/><Relationship Id="rId561" Type="http://schemas.openxmlformats.org/officeDocument/2006/relationships/hyperlink" Target="https://www.youtube.com/watch?v=NaCx35vC5wg" TargetMode="External"/><Relationship Id="rId617" Type="http://schemas.openxmlformats.org/officeDocument/2006/relationships/hyperlink" Target="https://www.youtube.com/watch?v=SNAHZpRl3go" TargetMode="External"/><Relationship Id="rId659" Type="http://schemas.openxmlformats.org/officeDocument/2006/relationships/hyperlink" Target="https://www.youtube.com/watch?v=JjtvU2xQpaQ" TargetMode="External"/><Relationship Id="rId214" Type="http://schemas.openxmlformats.org/officeDocument/2006/relationships/hyperlink" Target="https://www.youtube.com/watch?v=9ScY3DQ8lnM" TargetMode="External"/><Relationship Id="rId256" Type="http://schemas.openxmlformats.org/officeDocument/2006/relationships/hyperlink" Target="https://www.youtube.com/watch?v=_Anq0CTYGt8" TargetMode="External"/><Relationship Id="rId298" Type="http://schemas.openxmlformats.org/officeDocument/2006/relationships/hyperlink" Target="https://www.youtube.com/watch?v=kaJQx-nXg6M" TargetMode="External"/><Relationship Id="rId421" Type="http://schemas.openxmlformats.org/officeDocument/2006/relationships/hyperlink" Target="https://www.youtube.com/watch?v=G6rcMSQ1UVE" TargetMode="External"/><Relationship Id="rId463" Type="http://schemas.openxmlformats.org/officeDocument/2006/relationships/hyperlink" Target="https://www.youtube.com/watch?v=ZwiLQGKP--A" TargetMode="External"/><Relationship Id="rId519" Type="http://schemas.openxmlformats.org/officeDocument/2006/relationships/hyperlink" Target="https://www.youtube.com/watch?v=EfHkupTL5wU" TargetMode="External"/><Relationship Id="rId670" Type="http://schemas.openxmlformats.org/officeDocument/2006/relationships/hyperlink" Target="https://www.youtube.com/watch?v=kvEIBfEnwXM" TargetMode="External"/><Relationship Id="rId116" Type="http://schemas.openxmlformats.org/officeDocument/2006/relationships/hyperlink" Target="https://www.youtube.com/watch?v=vnw9dW2QgYk" TargetMode="External"/><Relationship Id="rId158" Type="http://schemas.openxmlformats.org/officeDocument/2006/relationships/hyperlink" Target="https://www.youtube.com/watch?v=4h6drLmYTr8" TargetMode="External"/><Relationship Id="rId323" Type="http://schemas.openxmlformats.org/officeDocument/2006/relationships/hyperlink" Target="https://www.youtube.com/watch?v=sdUuukDpj9s" TargetMode="External"/><Relationship Id="rId530" Type="http://schemas.openxmlformats.org/officeDocument/2006/relationships/hyperlink" Target="https://www.youtube.com/watch?v=_nyKGkDh6WM" TargetMode="External"/><Relationship Id="rId726" Type="http://schemas.openxmlformats.org/officeDocument/2006/relationships/hyperlink" Target="https://www.youtube.com/watch?v=5IYA6g6rNW0" TargetMode="External"/><Relationship Id="rId20" Type="http://schemas.openxmlformats.org/officeDocument/2006/relationships/hyperlink" Target="https://www.youtube.com/watch?v=_IcfDP-ezpo" TargetMode="External"/><Relationship Id="rId62" Type="http://schemas.openxmlformats.org/officeDocument/2006/relationships/hyperlink" Target="https://www.youtube.com/watch?v=s3LVHHEe2vc" TargetMode="External"/><Relationship Id="rId365" Type="http://schemas.openxmlformats.org/officeDocument/2006/relationships/hyperlink" Target="https://www.youtube.com/watch?v=xA9TKhOjY24" TargetMode="External"/><Relationship Id="rId572" Type="http://schemas.openxmlformats.org/officeDocument/2006/relationships/hyperlink" Target="https://www.youtube.com/watch?v=bGDeGR7DrFw" TargetMode="External"/><Relationship Id="rId628" Type="http://schemas.openxmlformats.org/officeDocument/2006/relationships/hyperlink" Target="https://www.youtube.com/watch?v=lnII4AH2rHw" TargetMode="External"/><Relationship Id="rId225" Type="http://schemas.openxmlformats.org/officeDocument/2006/relationships/hyperlink" Target="https://www.youtube.com/watch?v=v6x52noLJOo" TargetMode="External"/><Relationship Id="rId267" Type="http://schemas.openxmlformats.org/officeDocument/2006/relationships/hyperlink" Target="https://www.youtube.com/watch?v=yYhGJH2NjBA" TargetMode="External"/><Relationship Id="rId432" Type="http://schemas.openxmlformats.org/officeDocument/2006/relationships/hyperlink" Target="https://www.youtube.com/watch?v=6aJLKt2nXsg" TargetMode="External"/><Relationship Id="rId474" Type="http://schemas.openxmlformats.org/officeDocument/2006/relationships/hyperlink" Target="https://www.youtube.com/watch?v=AB0KeX_0T2I" TargetMode="External"/><Relationship Id="rId127" Type="http://schemas.openxmlformats.org/officeDocument/2006/relationships/hyperlink" Target="https://www.youtube.com/watch?v=08Xwx9vsy6w" TargetMode="External"/><Relationship Id="rId681" Type="http://schemas.openxmlformats.org/officeDocument/2006/relationships/hyperlink" Target="https://www.youtube.com/watch?v=_CKZQa18hcY" TargetMode="External"/><Relationship Id="rId737" Type="http://schemas.openxmlformats.org/officeDocument/2006/relationships/hyperlink" Target="https://www.youtube.com/watch?v=qIQN0DtO2Z8" TargetMode="External"/><Relationship Id="rId31" Type="http://schemas.openxmlformats.org/officeDocument/2006/relationships/hyperlink" Target="https://www.youtube.com/watch?v=elqL0Sr_sVU" TargetMode="External"/><Relationship Id="rId73" Type="http://schemas.openxmlformats.org/officeDocument/2006/relationships/hyperlink" Target="https://www.youtube.com/watch?v=4yz6ZL-TC94" TargetMode="External"/><Relationship Id="rId169" Type="http://schemas.openxmlformats.org/officeDocument/2006/relationships/hyperlink" Target="https://www.youtube.com/watch?v=fQxUVyFqzpA" TargetMode="External"/><Relationship Id="rId334" Type="http://schemas.openxmlformats.org/officeDocument/2006/relationships/hyperlink" Target="https://www.youtube.com/watch?v=gtDa8NLyc74" TargetMode="External"/><Relationship Id="rId376" Type="http://schemas.openxmlformats.org/officeDocument/2006/relationships/hyperlink" Target="https://www.youtube.com/watch?v=0DBc4TKwgDc" TargetMode="External"/><Relationship Id="rId541" Type="http://schemas.openxmlformats.org/officeDocument/2006/relationships/hyperlink" Target="https://www.youtube.com/watch?v=w1panKQ58dU" TargetMode="External"/><Relationship Id="rId583" Type="http://schemas.openxmlformats.org/officeDocument/2006/relationships/hyperlink" Target="https://www.youtube.com/watch?v=nUfn2eRsHgo" TargetMode="External"/><Relationship Id="rId639" Type="http://schemas.openxmlformats.org/officeDocument/2006/relationships/hyperlink" Target="https://www.youtube.com/watch?v=Iz3TO-dXkSI" TargetMode="External"/><Relationship Id="rId4" Type="http://schemas.openxmlformats.org/officeDocument/2006/relationships/hyperlink" Target="https://www.youtube.com/watch?v=FytdS2vMJfU" TargetMode="External"/><Relationship Id="rId180" Type="http://schemas.openxmlformats.org/officeDocument/2006/relationships/hyperlink" Target="https://www.youtube.com/watch?v=nCmJgIvSqfU" TargetMode="External"/><Relationship Id="rId215" Type="http://schemas.openxmlformats.org/officeDocument/2006/relationships/hyperlink" Target="https://www.youtube.com/watch?v=gKt4SG-pAmw" TargetMode="External"/><Relationship Id="rId236" Type="http://schemas.openxmlformats.org/officeDocument/2006/relationships/hyperlink" Target="https://www.youtube.com/watch?v=DoYL7K2djDY" TargetMode="External"/><Relationship Id="rId257" Type="http://schemas.openxmlformats.org/officeDocument/2006/relationships/hyperlink" Target="https://www.youtube.com/watch?v=_xIbCmTtK8s" TargetMode="External"/><Relationship Id="rId278" Type="http://schemas.openxmlformats.org/officeDocument/2006/relationships/hyperlink" Target="https://www.youtube.com/watch?v=1GLaXQ6Rgcg" TargetMode="External"/><Relationship Id="rId401" Type="http://schemas.openxmlformats.org/officeDocument/2006/relationships/hyperlink" Target="https://www.youtube.com/watch?v=JcNaFHIozC4" TargetMode="External"/><Relationship Id="rId422" Type="http://schemas.openxmlformats.org/officeDocument/2006/relationships/hyperlink" Target="https://www.youtube.com/watch?v=mK5DuxKw-I8" TargetMode="External"/><Relationship Id="rId443" Type="http://schemas.openxmlformats.org/officeDocument/2006/relationships/hyperlink" Target="https://www.youtube.com/watch?v=a_HGSrmF_8w" TargetMode="External"/><Relationship Id="rId464" Type="http://schemas.openxmlformats.org/officeDocument/2006/relationships/hyperlink" Target="https://www.youtube.com/watch?v=fmVDyQnLFe4" TargetMode="External"/><Relationship Id="rId650" Type="http://schemas.openxmlformats.org/officeDocument/2006/relationships/hyperlink" Target="https://www.youtube.com/watch?v=mcxquOK_mY8" TargetMode="External"/><Relationship Id="rId303" Type="http://schemas.openxmlformats.org/officeDocument/2006/relationships/hyperlink" Target="https://www.youtube.com/watch?v=0DzUUFbFZHs" TargetMode="External"/><Relationship Id="rId485" Type="http://schemas.openxmlformats.org/officeDocument/2006/relationships/hyperlink" Target="https://www.youtube.com/watch?v=ZhuUYD3QvB8" TargetMode="External"/><Relationship Id="rId692" Type="http://schemas.openxmlformats.org/officeDocument/2006/relationships/hyperlink" Target="https://www.youtube.com/watch?v=gtJ9OzJIB_c" TargetMode="External"/><Relationship Id="rId706" Type="http://schemas.openxmlformats.org/officeDocument/2006/relationships/hyperlink" Target="https://www.youtube.com/watch?v=KCUZ6hBgxc0" TargetMode="External"/><Relationship Id="rId748" Type="http://schemas.openxmlformats.org/officeDocument/2006/relationships/hyperlink" Target="https://www.youtube.com/watch?v=Bx9ffGtMMxo" TargetMode="External"/><Relationship Id="rId42" Type="http://schemas.openxmlformats.org/officeDocument/2006/relationships/hyperlink" Target="https://www.youtube.com/watch?v=LXrKKz7Mld8" TargetMode="External"/><Relationship Id="rId84" Type="http://schemas.openxmlformats.org/officeDocument/2006/relationships/hyperlink" Target="https://www.youtube.com/watch?v=TEUt7CVuFbI" TargetMode="External"/><Relationship Id="rId138" Type="http://schemas.openxmlformats.org/officeDocument/2006/relationships/hyperlink" Target="https://www.youtube.com/watch?v=agP31XI_FxA" TargetMode="External"/><Relationship Id="rId345" Type="http://schemas.openxmlformats.org/officeDocument/2006/relationships/hyperlink" Target="https://www.youtube.com/watch?v=spEEA-o1zlE" TargetMode="External"/><Relationship Id="rId387" Type="http://schemas.openxmlformats.org/officeDocument/2006/relationships/hyperlink" Target="https://www.youtube.com/watch?v=xjoBDX3u1Ys" TargetMode="External"/><Relationship Id="rId510" Type="http://schemas.openxmlformats.org/officeDocument/2006/relationships/hyperlink" Target="https://www.youtube.com/watch?v=NMCXHN1fW9k" TargetMode="External"/><Relationship Id="rId552" Type="http://schemas.openxmlformats.org/officeDocument/2006/relationships/hyperlink" Target="https://www.youtube.com/watch?v=eVhJjqlSE8s" TargetMode="External"/><Relationship Id="rId594" Type="http://schemas.openxmlformats.org/officeDocument/2006/relationships/hyperlink" Target="https://www.youtube.com/watch?v=SmB_GUlrfzk" TargetMode="External"/><Relationship Id="rId608" Type="http://schemas.openxmlformats.org/officeDocument/2006/relationships/hyperlink" Target="https://www.youtube.com/watch?v=1jVMegap8Ws" TargetMode="External"/><Relationship Id="rId191" Type="http://schemas.openxmlformats.org/officeDocument/2006/relationships/hyperlink" Target="https://www.youtube.com/watch?v=pAHRrR6eeDU" TargetMode="External"/><Relationship Id="rId205" Type="http://schemas.openxmlformats.org/officeDocument/2006/relationships/hyperlink" Target="https://www.youtube.com/watch?v=t63m6GCrKbw" TargetMode="External"/><Relationship Id="rId247" Type="http://schemas.openxmlformats.org/officeDocument/2006/relationships/hyperlink" Target="https://www.youtube.com/watch?v=jaw4U_s24zo" TargetMode="External"/><Relationship Id="rId412" Type="http://schemas.openxmlformats.org/officeDocument/2006/relationships/hyperlink" Target="https://www.youtube.com/watch?v=_VfaX30ncIU" TargetMode="External"/><Relationship Id="rId107" Type="http://schemas.openxmlformats.org/officeDocument/2006/relationships/hyperlink" Target="https://www.youtube.com/watch?v=Vf5BOYF0S3Y" TargetMode="External"/><Relationship Id="rId289" Type="http://schemas.openxmlformats.org/officeDocument/2006/relationships/hyperlink" Target="https://www.youtube.com/watch?v=NQUbNykwFG4" TargetMode="External"/><Relationship Id="rId454" Type="http://schemas.openxmlformats.org/officeDocument/2006/relationships/hyperlink" Target="https://www.youtube.com/watch?v=tpUBWJjtzrA" TargetMode="External"/><Relationship Id="rId496" Type="http://schemas.openxmlformats.org/officeDocument/2006/relationships/hyperlink" Target="https://www.youtube.com/watch?v=5XqO9FCH3Xk" TargetMode="External"/><Relationship Id="rId661" Type="http://schemas.openxmlformats.org/officeDocument/2006/relationships/hyperlink" Target="https://www.youtube.com/watch?v=strZVEaixcs" TargetMode="External"/><Relationship Id="rId717" Type="http://schemas.openxmlformats.org/officeDocument/2006/relationships/hyperlink" Target="https://www.youtube.com/watch?v=Owv0FewW5Bo" TargetMode="External"/><Relationship Id="rId759" Type="http://schemas.openxmlformats.org/officeDocument/2006/relationships/vmlDrawing" Target="../drawings/vmlDrawing3.vml"/><Relationship Id="rId11" Type="http://schemas.openxmlformats.org/officeDocument/2006/relationships/hyperlink" Target="https://www.youtube.com/watch?v=jMgGGixmfus" TargetMode="External"/><Relationship Id="rId53" Type="http://schemas.openxmlformats.org/officeDocument/2006/relationships/hyperlink" Target="https://www.youtube.com/watch?v=f-MLHIb4dFU" TargetMode="External"/><Relationship Id="rId149" Type="http://schemas.openxmlformats.org/officeDocument/2006/relationships/hyperlink" Target="https://www.youtube.com/watch?v=T0iutxik1Eg" TargetMode="External"/><Relationship Id="rId314" Type="http://schemas.openxmlformats.org/officeDocument/2006/relationships/hyperlink" Target="https://www.youtube.com/watch?v=jB9efRnouaI" TargetMode="External"/><Relationship Id="rId356" Type="http://schemas.openxmlformats.org/officeDocument/2006/relationships/hyperlink" Target="https://www.youtube.com/watch?v=wKE7d6nLsDM" TargetMode="External"/><Relationship Id="rId398" Type="http://schemas.openxmlformats.org/officeDocument/2006/relationships/hyperlink" Target="https://www.youtube.com/watch?v=C3knBzrgTTY" TargetMode="External"/><Relationship Id="rId521" Type="http://schemas.openxmlformats.org/officeDocument/2006/relationships/hyperlink" Target="https://www.youtube.com/watch?v=uTyoGVNa7FA" TargetMode="External"/><Relationship Id="rId563" Type="http://schemas.openxmlformats.org/officeDocument/2006/relationships/hyperlink" Target="https://www.youtube.com/watch?v=4VaCcFKHkSY" TargetMode="External"/><Relationship Id="rId619" Type="http://schemas.openxmlformats.org/officeDocument/2006/relationships/hyperlink" Target="https://www.youtube.com/watch?v=Vrv16kSoTLQ" TargetMode="External"/><Relationship Id="rId95" Type="http://schemas.openxmlformats.org/officeDocument/2006/relationships/hyperlink" Target="https://www.youtube.com/watch?v=iGpYgqX-p8c" TargetMode="External"/><Relationship Id="rId160" Type="http://schemas.openxmlformats.org/officeDocument/2006/relationships/hyperlink" Target="https://www.youtube.com/watch?v=Y1SUVA0PU1o" TargetMode="External"/><Relationship Id="rId216" Type="http://schemas.openxmlformats.org/officeDocument/2006/relationships/hyperlink" Target="https://www.youtube.com/watch?v=2p91-Fy5A6Q" TargetMode="External"/><Relationship Id="rId423" Type="http://schemas.openxmlformats.org/officeDocument/2006/relationships/hyperlink" Target="https://www.youtube.com/watch?v=zV5AbsAy5m4" TargetMode="External"/><Relationship Id="rId258" Type="http://schemas.openxmlformats.org/officeDocument/2006/relationships/hyperlink" Target="https://www.youtube.com/watch?v=qGie_-i1j6o" TargetMode="External"/><Relationship Id="rId465" Type="http://schemas.openxmlformats.org/officeDocument/2006/relationships/hyperlink" Target="https://www.youtube.com/watch?v=ohUG8LIy7Cs" TargetMode="External"/><Relationship Id="rId630" Type="http://schemas.openxmlformats.org/officeDocument/2006/relationships/hyperlink" Target="https://www.youtube.com/watch?v=_zmgXM40afU" TargetMode="External"/><Relationship Id="rId672" Type="http://schemas.openxmlformats.org/officeDocument/2006/relationships/hyperlink" Target="https://www.youtube.com/watch?v=vB9JqlUiYUk" TargetMode="External"/><Relationship Id="rId728" Type="http://schemas.openxmlformats.org/officeDocument/2006/relationships/hyperlink" Target="https://www.youtube.com/watch?v=s9g49kgd9ao" TargetMode="External"/><Relationship Id="rId22" Type="http://schemas.openxmlformats.org/officeDocument/2006/relationships/hyperlink" Target="https://www.youtube.com/watch?v=Uq2PJjcHiqI" TargetMode="External"/><Relationship Id="rId64" Type="http://schemas.openxmlformats.org/officeDocument/2006/relationships/hyperlink" Target="https://www.youtube.com/watch?v=ytrFjytVgtk" TargetMode="External"/><Relationship Id="rId118" Type="http://schemas.openxmlformats.org/officeDocument/2006/relationships/hyperlink" Target="https://www.youtube.com/watch?v=nbZhVwfCRMU" TargetMode="External"/><Relationship Id="rId325" Type="http://schemas.openxmlformats.org/officeDocument/2006/relationships/hyperlink" Target="https://www.youtube.com/watch?v=WkR5PD16sCg" TargetMode="External"/><Relationship Id="rId367" Type="http://schemas.openxmlformats.org/officeDocument/2006/relationships/hyperlink" Target="https://www.youtube.com/watch?v=qY5oQOirve4" TargetMode="External"/><Relationship Id="rId532" Type="http://schemas.openxmlformats.org/officeDocument/2006/relationships/hyperlink" Target="https://www.youtube.com/watch?v=74BW9K7eGtY&amp;t=21s" TargetMode="External"/><Relationship Id="rId574" Type="http://schemas.openxmlformats.org/officeDocument/2006/relationships/hyperlink" Target="https://www.youtube.com/watch?v=Kfvmj7QyAfQ" TargetMode="External"/><Relationship Id="rId171" Type="http://schemas.openxmlformats.org/officeDocument/2006/relationships/hyperlink" Target="https://www.youtube.com/watch?v=2Ew9deAuPwU" TargetMode="External"/><Relationship Id="rId227" Type="http://schemas.openxmlformats.org/officeDocument/2006/relationships/hyperlink" Target="https://www.youtube.com/watch?v=7RTlRYpr7o8" TargetMode="External"/><Relationship Id="rId269" Type="http://schemas.openxmlformats.org/officeDocument/2006/relationships/hyperlink" Target="https://www.youtube.com/watch?v=k6dsew1B6SE" TargetMode="External"/><Relationship Id="rId434" Type="http://schemas.openxmlformats.org/officeDocument/2006/relationships/hyperlink" Target="https://www.youtube.com/watch?v=txsij6WXt8s" TargetMode="External"/><Relationship Id="rId476" Type="http://schemas.openxmlformats.org/officeDocument/2006/relationships/hyperlink" Target="https://www.youtube.com/watch?v=Hqx5Pfe-4NI" TargetMode="External"/><Relationship Id="rId641" Type="http://schemas.openxmlformats.org/officeDocument/2006/relationships/hyperlink" Target="https://www.youtube.com/watch?v=0cvq3rbQ7Dw" TargetMode="External"/><Relationship Id="rId683" Type="http://schemas.openxmlformats.org/officeDocument/2006/relationships/hyperlink" Target="https://www.youtube.com/watch?v=lkO1JaN7BoQ" TargetMode="External"/><Relationship Id="rId739" Type="http://schemas.openxmlformats.org/officeDocument/2006/relationships/hyperlink" Target="https://www.youtube.com/watch?v=ZyApm_PJ-W8&amp;t=65s" TargetMode="External"/><Relationship Id="rId33" Type="http://schemas.openxmlformats.org/officeDocument/2006/relationships/hyperlink" Target="https://www.youtube.com/watch?v=BEz8X5SUwjY" TargetMode="External"/><Relationship Id="rId129" Type="http://schemas.openxmlformats.org/officeDocument/2006/relationships/hyperlink" Target="https://www.youtube.com/watch?v=SS0UQNsxhus" TargetMode="External"/><Relationship Id="rId280" Type="http://schemas.openxmlformats.org/officeDocument/2006/relationships/hyperlink" Target="https://www.youtube.com/watch?v=EHQ6eLHDs78" TargetMode="External"/><Relationship Id="rId336" Type="http://schemas.openxmlformats.org/officeDocument/2006/relationships/hyperlink" Target="https://www.youtube.com/watch?v=Xk3tQcQ1QcQ" TargetMode="External"/><Relationship Id="rId501" Type="http://schemas.openxmlformats.org/officeDocument/2006/relationships/hyperlink" Target="https://www.youtube.com/watch?v=JkMKDP2BOlw&amp;t=169s" TargetMode="External"/><Relationship Id="rId543" Type="http://schemas.openxmlformats.org/officeDocument/2006/relationships/hyperlink" Target="https://www.youtube.com/watch?v=mxQpJeckKaU" TargetMode="External"/><Relationship Id="rId75" Type="http://schemas.openxmlformats.org/officeDocument/2006/relationships/hyperlink" Target="https://www.youtube.com/watch?v=29-xoooHPaw" TargetMode="External"/><Relationship Id="rId140" Type="http://schemas.openxmlformats.org/officeDocument/2006/relationships/hyperlink" Target="https://www.youtube.com/watch?v=ANSSQQ6ZauM" TargetMode="External"/><Relationship Id="rId182" Type="http://schemas.openxmlformats.org/officeDocument/2006/relationships/hyperlink" Target="https://www.youtube.com/watch?v=r5r1yU9O2ag" TargetMode="External"/><Relationship Id="rId378" Type="http://schemas.openxmlformats.org/officeDocument/2006/relationships/hyperlink" Target="https://www.youtube.com/watch?v=FQmwAFcJSpw" TargetMode="External"/><Relationship Id="rId403" Type="http://schemas.openxmlformats.org/officeDocument/2006/relationships/hyperlink" Target="https://www.youtube.com/watch?v=QrVLpFoGRb4" TargetMode="External"/><Relationship Id="rId585" Type="http://schemas.openxmlformats.org/officeDocument/2006/relationships/hyperlink" Target="https://www.youtube.com/watch?v=Nattb-ZPK4g" TargetMode="External"/><Relationship Id="rId750" Type="http://schemas.openxmlformats.org/officeDocument/2006/relationships/hyperlink" Target="https://www.youtube.com/watch?v=dHQ-HMVdPyE" TargetMode="External"/><Relationship Id="rId6" Type="http://schemas.openxmlformats.org/officeDocument/2006/relationships/hyperlink" Target="https://www.youtube.com/watch?v=WU456HIXN5U" TargetMode="External"/><Relationship Id="rId238" Type="http://schemas.openxmlformats.org/officeDocument/2006/relationships/hyperlink" Target="https://www.youtube.com/watch?v=QPVDHJcsv5U" TargetMode="External"/><Relationship Id="rId445" Type="http://schemas.openxmlformats.org/officeDocument/2006/relationships/hyperlink" Target="https://www.youtube.com/watch?v=AgRVHML48XM" TargetMode="External"/><Relationship Id="rId487" Type="http://schemas.openxmlformats.org/officeDocument/2006/relationships/hyperlink" Target="https://www.youtube.com/watch?v=FTdLV7hcCvI" TargetMode="External"/><Relationship Id="rId610" Type="http://schemas.openxmlformats.org/officeDocument/2006/relationships/hyperlink" Target="https://www.youtube.com/watch?v=8usGAaPq-WY" TargetMode="External"/><Relationship Id="rId652" Type="http://schemas.openxmlformats.org/officeDocument/2006/relationships/hyperlink" Target="https://www.youtube.com/watch?v=DVcN5QXGA_w" TargetMode="External"/><Relationship Id="rId694" Type="http://schemas.openxmlformats.org/officeDocument/2006/relationships/hyperlink" Target="https://www.youtube.com/watch?v=4iGdwJ3nQcs&amp;t=38s" TargetMode="External"/><Relationship Id="rId708" Type="http://schemas.openxmlformats.org/officeDocument/2006/relationships/hyperlink" Target="https://www.youtube.com/watch?v=DBYSIkWsAOI" TargetMode="External"/><Relationship Id="rId291" Type="http://schemas.openxmlformats.org/officeDocument/2006/relationships/hyperlink" Target="https://www.youtube.com/watch?v=fzzIeVO7-qk" TargetMode="External"/><Relationship Id="rId305" Type="http://schemas.openxmlformats.org/officeDocument/2006/relationships/hyperlink" Target="https://www.youtube.com/watch?v=NhDs3OPqMQ4" TargetMode="External"/><Relationship Id="rId347" Type="http://schemas.openxmlformats.org/officeDocument/2006/relationships/hyperlink" Target="https://www.youtube.com/watch?v=M8Xez56Bg9c" TargetMode="External"/><Relationship Id="rId512" Type="http://schemas.openxmlformats.org/officeDocument/2006/relationships/hyperlink" Target="https://www.youtube.com/watch?v=3vhgcNKVRgY" TargetMode="External"/><Relationship Id="rId44" Type="http://schemas.openxmlformats.org/officeDocument/2006/relationships/hyperlink" Target="https://www.youtube.com/watch?v=rNhQIKC2jPM" TargetMode="External"/><Relationship Id="rId86" Type="http://schemas.openxmlformats.org/officeDocument/2006/relationships/hyperlink" Target="https://www.youtube.com/watch?v=f-XdG6v-RWk" TargetMode="External"/><Relationship Id="rId151" Type="http://schemas.openxmlformats.org/officeDocument/2006/relationships/hyperlink" Target="https://www.youtube.com/watch?v=HdBCunbR_jE" TargetMode="External"/><Relationship Id="rId389" Type="http://schemas.openxmlformats.org/officeDocument/2006/relationships/hyperlink" Target="https://www.youtube.com/watch?v=gL_j5YKKN38" TargetMode="External"/><Relationship Id="rId554" Type="http://schemas.openxmlformats.org/officeDocument/2006/relationships/hyperlink" Target="https://www.youtube.com/watch?v=WtWOT6Hj2vM" TargetMode="External"/><Relationship Id="rId596" Type="http://schemas.openxmlformats.org/officeDocument/2006/relationships/hyperlink" Target="https://www.youtube.com/watch?v=m1RnPcyk_e0" TargetMode="External"/><Relationship Id="rId193" Type="http://schemas.openxmlformats.org/officeDocument/2006/relationships/hyperlink" Target="https://www.youtube.com/watch?v=LI3VwCn-0WI" TargetMode="External"/><Relationship Id="rId207" Type="http://schemas.openxmlformats.org/officeDocument/2006/relationships/hyperlink" Target="https://www.youtube.com/watch?v=RKYffxIB9EM" TargetMode="External"/><Relationship Id="rId249" Type="http://schemas.openxmlformats.org/officeDocument/2006/relationships/hyperlink" Target="https://www.youtube.com/watch?v=d9iObjKR5yI" TargetMode="External"/><Relationship Id="rId414" Type="http://schemas.openxmlformats.org/officeDocument/2006/relationships/hyperlink" Target="https://www.youtube.com/watch?v=5tMCiwnQlXM" TargetMode="External"/><Relationship Id="rId456" Type="http://schemas.openxmlformats.org/officeDocument/2006/relationships/hyperlink" Target="https://www.youtube.com/watch?v=IQCY6tVgZ9s" TargetMode="External"/><Relationship Id="rId498" Type="http://schemas.openxmlformats.org/officeDocument/2006/relationships/hyperlink" Target="https://www.youtube.com/watch?v=KStzrk3h76o" TargetMode="External"/><Relationship Id="rId621" Type="http://schemas.openxmlformats.org/officeDocument/2006/relationships/hyperlink" Target="https://www.youtube.com/watch?v=JZ7LHVZfMwM" TargetMode="External"/><Relationship Id="rId663" Type="http://schemas.openxmlformats.org/officeDocument/2006/relationships/hyperlink" Target="https://www.youtube.com/watch?v=LIl0C87tzGE" TargetMode="External"/><Relationship Id="rId13" Type="http://schemas.openxmlformats.org/officeDocument/2006/relationships/hyperlink" Target="https://www.youtube.com/watch?v=KVDRl_wLqdM" TargetMode="External"/><Relationship Id="rId109" Type="http://schemas.openxmlformats.org/officeDocument/2006/relationships/hyperlink" Target="https://www.youtube.com/watch?v=apOba1F4MT4" TargetMode="External"/><Relationship Id="rId260" Type="http://schemas.openxmlformats.org/officeDocument/2006/relationships/hyperlink" Target="https://www.youtube.com/watch?v=WQObFfIG62Q" TargetMode="External"/><Relationship Id="rId316" Type="http://schemas.openxmlformats.org/officeDocument/2006/relationships/hyperlink" Target="https://www.youtube.com/watch?v=G-AjF_4Jc1I" TargetMode="External"/><Relationship Id="rId523" Type="http://schemas.openxmlformats.org/officeDocument/2006/relationships/hyperlink" Target="https://www.youtube.com/watch?v=VkyOIj4SQu4" TargetMode="External"/><Relationship Id="rId719" Type="http://schemas.openxmlformats.org/officeDocument/2006/relationships/hyperlink" Target="https://www.youtube.com/watch?v=tPgOVeqnOcc" TargetMode="External"/><Relationship Id="rId55" Type="http://schemas.openxmlformats.org/officeDocument/2006/relationships/hyperlink" Target="https://www.youtube.com/watch?v=QWaXqmcxm94" TargetMode="External"/><Relationship Id="rId97" Type="http://schemas.openxmlformats.org/officeDocument/2006/relationships/hyperlink" Target="https://www.youtube.com/watch?v=gmu_fBglk-A" TargetMode="External"/><Relationship Id="rId120" Type="http://schemas.openxmlformats.org/officeDocument/2006/relationships/hyperlink" Target="https://www.youtube.com/watch?v=v6It_CJ27bg" TargetMode="External"/><Relationship Id="rId358" Type="http://schemas.openxmlformats.org/officeDocument/2006/relationships/hyperlink" Target="https://www.youtube.com/watch?v=dgXtHzSngX0" TargetMode="External"/><Relationship Id="rId565" Type="http://schemas.openxmlformats.org/officeDocument/2006/relationships/hyperlink" Target="https://www.youtube.com/watch?v=Z8Wd8i754cU" TargetMode="External"/><Relationship Id="rId730" Type="http://schemas.openxmlformats.org/officeDocument/2006/relationships/hyperlink" Target="https://www.youtube.com/watch?v=1CJb6PuWDqk" TargetMode="External"/><Relationship Id="rId162" Type="http://schemas.openxmlformats.org/officeDocument/2006/relationships/hyperlink" Target="https://www.youtube.com/watch?v=hgdVPIrlSPU" TargetMode="External"/><Relationship Id="rId218" Type="http://schemas.openxmlformats.org/officeDocument/2006/relationships/hyperlink" Target="https://www.youtube.com/watch?v=nEEhdprZ-EE" TargetMode="External"/><Relationship Id="rId425" Type="http://schemas.openxmlformats.org/officeDocument/2006/relationships/hyperlink" Target="https://www.youtube.com/watch?v=5iT09vIaZOU" TargetMode="External"/><Relationship Id="rId467" Type="http://schemas.openxmlformats.org/officeDocument/2006/relationships/hyperlink" Target="https://www.youtube.com/watch?v=_vKbwIOfXy0" TargetMode="External"/><Relationship Id="rId632" Type="http://schemas.openxmlformats.org/officeDocument/2006/relationships/hyperlink" Target="https://www.youtube.com/watch?v=-c4KLljIDeo" TargetMode="External"/><Relationship Id="rId271" Type="http://schemas.openxmlformats.org/officeDocument/2006/relationships/hyperlink" Target="https://www.youtube.com/watch?v=_OWY_haNDNI" TargetMode="External"/><Relationship Id="rId674" Type="http://schemas.openxmlformats.org/officeDocument/2006/relationships/hyperlink" Target="https://www.youtube.com/watch?v=eKSuEJqn2NI" TargetMode="External"/><Relationship Id="rId24" Type="http://schemas.openxmlformats.org/officeDocument/2006/relationships/hyperlink" Target="https://www.youtube.com/watch?v=LdrmgXtd_rs" TargetMode="External"/><Relationship Id="rId66" Type="http://schemas.openxmlformats.org/officeDocument/2006/relationships/hyperlink" Target="https://www.youtube.com/watch?v=mhHQNrL_bkM" TargetMode="External"/><Relationship Id="rId131" Type="http://schemas.openxmlformats.org/officeDocument/2006/relationships/hyperlink" Target="https://www.youtube.com/watch?v=vHGejHQUoio" TargetMode="External"/><Relationship Id="rId327" Type="http://schemas.openxmlformats.org/officeDocument/2006/relationships/hyperlink" Target="https://www.youtube.com/watch?v=p4NkqPPh2fk" TargetMode="External"/><Relationship Id="rId369" Type="http://schemas.openxmlformats.org/officeDocument/2006/relationships/hyperlink" Target="https://www.youtube.com/watch?v=XCXsh2mfb3M" TargetMode="External"/><Relationship Id="rId534" Type="http://schemas.openxmlformats.org/officeDocument/2006/relationships/hyperlink" Target="https://www.youtube.com/watch?v=2yRygpW0RYY" TargetMode="External"/><Relationship Id="rId576" Type="http://schemas.openxmlformats.org/officeDocument/2006/relationships/hyperlink" Target="https://www.youtube.com/watch?v=ANDhhofT1w0" TargetMode="External"/><Relationship Id="rId741" Type="http://schemas.openxmlformats.org/officeDocument/2006/relationships/hyperlink" Target="https://www.youtube.com/watch?v=JlEmX46IYNY" TargetMode="External"/><Relationship Id="rId173" Type="http://schemas.openxmlformats.org/officeDocument/2006/relationships/hyperlink" Target="https://www.youtube.com/watch?v=t_J24YUQNK4" TargetMode="External"/><Relationship Id="rId229" Type="http://schemas.openxmlformats.org/officeDocument/2006/relationships/hyperlink" Target="https://www.youtube.com/watch?v=oYXPvuD_ejM" TargetMode="External"/><Relationship Id="rId380" Type="http://schemas.openxmlformats.org/officeDocument/2006/relationships/hyperlink" Target="https://www.youtube.com/watch?v=_OTzuNIDOOA" TargetMode="External"/><Relationship Id="rId436" Type="http://schemas.openxmlformats.org/officeDocument/2006/relationships/hyperlink" Target="https://www.youtube.com/watch?v=7gTT37SeSUc" TargetMode="External"/><Relationship Id="rId601" Type="http://schemas.openxmlformats.org/officeDocument/2006/relationships/hyperlink" Target="https://www.youtube.com/watch?v=ZI3BJk08OWI" TargetMode="External"/><Relationship Id="rId643" Type="http://schemas.openxmlformats.org/officeDocument/2006/relationships/hyperlink" Target="https://www.youtube.com/watch?v=Yb0AWtlb8-g" TargetMode="External"/><Relationship Id="rId240" Type="http://schemas.openxmlformats.org/officeDocument/2006/relationships/hyperlink" Target="https://www.youtube.com/watch?v=4H5piNrmsCU" TargetMode="External"/><Relationship Id="rId478" Type="http://schemas.openxmlformats.org/officeDocument/2006/relationships/hyperlink" Target="https://www.youtube.com/watch?v=47hxgUfQ8jo" TargetMode="External"/><Relationship Id="rId685" Type="http://schemas.openxmlformats.org/officeDocument/2006/relationships/hyperlink" Target="https://www.youtube.com/watch?v=qY_yQIrKwRk" TargetMode="External"/><Relationship Id="rId35" Type="http://schemas.openxmlformats.org/officeDocument/2006/relationships/hyperlink" Target="https://www.youtube.com/watch?v=qCG2vqnaUx4" TargetMode="External"/><Relationship Id="rId77" Type="http://schemas.openxmlformats.org/officeDocument/2006/relationships/hyperlink" Target="https://www.youtube.com/watch?v=FNqQxPkLmPI" TargetMode="External"/><Relationship Id="rId100" Type="http://schemas.openxmlformats.org/officeDocument/2006/relationships/hyperlink" Target="https://www.youtube.com/watch?v=SrCfhdoTLfg" TargetMode="External"/><Relationship Id="rId282" Type="http://schemas.openxmlformats.org/officeDocument/2006/relationships/hyperlink" Target="https://www.youtube.com/watch?v=dZCZp5udJeI" TargetMode="External"/><Relationship Id="rId338" Type="http://schemas.openxmlformats.org/officeDocument/2006/relationships/hyperlink" Target="https://www.youtube.com/watch?v=55sjF1l4Hu0" TargetMode="External"/><Relationship Id="rId503" Type="http://schemas.openxmlformats.org/officeDocument/2006/relationships/hyperlink" Target="https://www.youtube.com/watch?v=qEJJIhs02cI" TargetMode="External"/><Relationship Id="rId545" Type="http://schemas.openxmlformats.org/officeDocument/2006/relationships/hyperlink" Target="https://www.youtube.com/watch?v=Aivw6qVhabo" TargetMode="External"/><Relationship Id="rId587" Type="http://schemas.openxmlformats.org/officeDocument/2006/relationships/hyperlink" Target="https://www.youtube.com/watch?v=zNgyoAjVDhk" TargetMode="External"/><Relationship Id="rId710" Type="http://schemas.openxmlformats.org/officeDocument/2006/relationships/hyperlink" Target="https://www.youtube.com/watch?v=uaTb9-4kT2Y" TargetMode="External"/><Relationship Id="rId752" Type="http://schemas.openxmlformats.org/officeDocument/2006/relationships/hyperlink" Target="https://www.youtube.com/watch?v=dvcJI5yAd6M&amp;t=122s" TargetMode="External"/><Relationship Id="rId8" Type="http://schemas.openxmlformats.org/officeDocument/2006/relationships/hyperlink" Target="https://www.youtube.com/watch?v=mjFek0gF97s" TargetMode="External"/><Relationship Id="rId142" Type="http://schemas.openxmlformats.org/officeDocument/2006/relationships/hyperlink" Target="https://www.youtube.com/watch?v=k54XQ5I1Nzo" TargetMode="External"/><Relationship Id="rId184" Type="http://schemas.openxmlformats.org/officeDocument/2006/relationships/hyperlink" Target="https://www.youtube.com/watch?v=Wu9WbgwxgjI" TargetMode="External"/><Relationship Id="rId391" Type="http://schemas.openxmlformats.org/officeDocument/2006/relationships/hyperlink" Target="https://www.youtube.com/watch?v=ebsBucPcYoU" TargetMode="External"/><Relationship Id="rId405" Type="http://schemas.openxmlformats.org/officeDocument/2006/relationships/hyperlink" Target="https://www.youtube.com/watch?v=c0qRokhkADI" TargetMode="External"/><Relationship Id="rId447" Type="http://schemas.openxmlformats.org/officeDocument/2006/relationships/hyperlink" Target="https://www.youtube.com/watch?v=xuKnWRKpLyM" TargetMode="External"/><Relationship Id="rId612" Type="http://schemas.openxmlformats.org/officeDocument/2006/relationships/hyperlink" Target="https://www.youtube.com/watch?v=r0tSX3M-7oM&amp;t=41s" TargetMode="External"/><Relationship Id="rId251" Type="http://schemas.openxmlformats.org/officeDocument/2006/relationships/hyperlink" Target="https://www.youtube.com/watch?v=yr_-UHm07rM" TargetMode="External"/><Relationship Id="rId489" Type="http://schemas.openxmlformats.org/officeDocument/2006/relationships/hyperlink" Target="https://www.youtube.com/watch?v=iGqKIfGTc-s" TargetMode="External"/><Relationship Id="rId654" Type="http://schemas.openxmlformats.org/officeDocument/2006/relationships/hyperlink" Target="https://www.youtube.com/watch?v=7-JbRtATwHQ" TargetMode="External"/><Relationship Id="rId696" Type="http://schemas.openxmlformats.org/officeDocument/2006/relationships/hyperlink" Target="https://www.youtube.com/watch?v=_xxJKDZyRuE" TargetMode="External"/><Relationship Id="rId46" Type="http://schemas.openxmlformats.org/officeDocument/2006/relationships/hyperlink" Target="https://www.youtube.com/watch?v=20u8yHim1tM" TargetMode="External"/><Relationship Id="rId293" Type="http://schemas.openxmlformats.org/officeDocument/2006/relationships/hyperlink" Target="https://www.youtube.com/watch?v=OXYcMlprdL4" TargetMode="External"/><Relationship Id="rId307" Type="http://schemas.openxmlformats.org/officeDocument/2006/relationships/hyperlink" Target="https://www.youtube.com/watch?v=T-iBVjoTxpY" TargetMode="External"/><Relationship Id="rId349" Type="http://schemas.openxmlformats.org/officeDocument/2006/relationships/hyperlink" Target="https://www.youtube.com/watch?v=fKsfq4rFzbA" TargetMode="External"/><Relationship Id="rId514" Type="http://schemas.openxmlformats.org/officeDocument/2006/relationships/hyperlink" Target="https://www.youtube.com/watch?v=wYCmU0vaKvc" TargetMode="External"/><Relationship Id="rId556" Type="http://schemas.openxmlformats.org/officeDocument/2006/relationships/hyperlink" Target="https://www.youtube.com/watch?v=FgVpxhtCQdA" TargetMode="External"/><Relationship Id="rId721" Type="http://schemas.openxmlformats.org/officeDocument/2006/relationships/hyperlink" Target="https://www.youtube.com/watch?v=tmCFtpj6IZc" TargetMode="External"/><Relationship Id="rId88" Type="http://schemas.openxmlformats.org/officeDocument/2006/relationships/hyperlink" Target="https://www.youtube.com/watch?v=lXmhJr1LDyI" TargetMode="External"/><Relationship Id="rId111" Type="http://schemas.openxmlformats.org/officeDocument/2006/relationships/hyperlink" Target="https://www.youtube.com/watch?v=61LvuBJ6Ojs" TargetMode="External"/><Relationship Id="rId153" Type="http://schemas.openxmlformats.org/officeDocument/2006/relationships/hyperlink" Target="https://www.youtube.com/watch?v=5K-nmVDwXW0" TargetMode="External"/><Relationship Id="rId195" Type="http://schemas.openxmlformats.org/officeDocument/2006/relationships/hyperlink" Target="https://www.youtube.com/watch?v=Yf6-fJ-LcU8" TargetMode="External"/><Relationship Id="rId209" Type="http://schemas.openxmlformats.org/officeDocument/2006/relationships/hyperlink" Target="https://www.youtube.com/watch?v=y-v-Ijc7W3Y" TargetMode="External"/><Relationship Id="rId360" Type="http://schemas.openxmlformats.org/officeDocument/2006/relationships/hyperlink" Target="https://www.youtube.com/watch?v=I6Nwopg3FIw" TargetMode="External"/><Relationship Id="rId416" Type="http://schemas.openxmlformats.org/officeDocument/2006/relationships/hyperlink" Target="https://www.youtube.com/watch?v=o4_iAmYXDzg" TargetMode="External"/><Relationship Id="rId598" Type="http://schemas.openxmlformats.org/officeDocument/2006/relationships/hyperlink" Target="https://www.youtube.com/watch?v=ZkrWcJXqbGA" TargetMode="External"/><Relationship Id="rId220" Type="http://schemas.openxmlformats.org/officeDocument/2006/relationships/hyperlink" Target="https://www.youtube.com/watch?v=YD-IKZbbHeU" TargetMode="External"/><Relationship Id="rId458" Type="http://schemas.openxmlformats.org/officeDocument/2006/relationships/hyperlink" Target="https://www.youtube.com/watch?v=kZVT_WU4Pm4" TargetMode="External"/><Relationship Id="rId623" Type="http://schemas.openxmlformats.org/officeDocument/2006/relationships/hyperlink" Target="https://www.youtube.com/watch?v=HzuZ57Y3-VQ" TargetMode="External"/><Relationship Id="rId665" Type="http://schemas.openxmlformats.org/officeDocument/2006/relationships/hyperlink" Target="https://www.youtube.com/watch?v=MAt3aD51sUM" TargetMode="External"/><Relationship Id="rId15" Type="http://schemas.openxmlformats.org/officeDocument/2006/relationships/hyperlink" Target="https://www.youtube.com/watch?v=iBwpK4_JtEw" TargetMode="External"/><Relationship Id="rId57" Type="http://schemas.openxmlformats.org/officeDocument/2006/relationships/hyperlink" Target="https://www.youtube.com/watch?v=TGgYE0Ui0co" TargetMode="External"/><Relationship Id="rId262" Type="http://schemas.openxmlformats.org/officeDocument/2006/relationships/hyperlink" Target="https://www.youtube.com/watch?v=ZWkU2WQv4mM" TargetMode="External"/><Relationship Id="rId318" Type="http://schemas.openxmlformats.org/officeDocument/2006/relationships/hyperlink" Target="https://www.youtube.com/watch?v=olQlPZuEWLY" TargetMode="External"/><Relationship Id="rId525" Type="http://schemas.openxmlformats.org/officeDocument/2006/relationships/hyperlink" Target="https://www.youtube.com/watch?v=vOOkxcKaZEo" TargetMode="External"/><Relationship Id="rId567" Type="http://schemas.openxmlformats.org/officeDocument/2006/relationships/hyperlink" Target="https://www.youtube.com/watch?v=aEAK6N982oQ" TargetMode="External"/><Relationship Id="rId732" Type="http://schemas.openxmlformats.org/officeDocument/2006/relationships/hyperlink" Target="https://www.youtube.com/watch?v=lyiuoR-2E6I" TargetMode="External"/><Relationship Id="rId99" Type="http://schemas.openxmlformats.org/officeDocument/2006/relationships/hyperlink" Target="https://www.youtube.com/watch?v=91dtNzk71IA" TargetMode="External"/><Relationship Id="rId122" Type="http://schemas.openxmlformats.org/officeDocument/2006/relationships/hyperlink" Target="https://www.youtube.com/watch?v=67Y76FPHZ-g" TargetMode="External"/><Relationship Id="rId164" Type="http://schemas.openxmlformats.org/officeDocument/2006/relationships/hyperlink" Target="https://www.youtube.com/watch?v=wH8I0vSB-Os" TargetMode="External"/><Relationship Id="rId371" Type="http://schemas.openxmlformats.org/officeDocument/2006/relationships/hyperlink" Target="https://www.youtube.com/watch?v=VxI-y4zU4YE" TargetMode="External"/><Relationship Id="rId427" Type="http://schemas.openxmlformats.org/officeDocument/2006/relationships/hyperlink" Target="https://www.youtube.com/watch?v=wXoImJcJYxQ" TargetMode="External"/><Relationship Id="rId469" Type="http://schemas.openxmlformats.org/officeDocument/2006/relationships/hyperlink" Target="https://www.youtube.com/watch?v=Deab_JE4fv4" TargetMode="External"/><Relationship Id="rId634" Type="http://schemas.openxmlformats.org/officeDocument/2006/relationships/hyperlink" Target="https://www.youtube.com/watch?v=GP0JLpTLOWU" TargetMode="External"/><Relationship Id="rId676" Type="http://schemas.openxmlformats.org/officeDocument/2006/relationships/hyperlink" Target="https://www.youtube.com/watch?v=bD-uUsBgY-w" TargetMode="External"/><Relationship Id="rId26" Type="http://schemas.openxmlformats.org/officeDocument/2006/relationships/hyperlink" Target="https://www.youtube.com/watch?v=RdBz1kIwrqo" TargetMode="External"/><Relationship Id="rId231" Type="http://schemas.openxmlformats.org/officeDocument/2006/relationships/hyperlink" Target="https://www.youtube.com/watch?v=xGvABG6vfLg" TargetMode="External"/><Relationship Id="rId273" Type="http://schemas.openxmlformats.org/officeDocument/2006/relationships/hyperlink" Target="https://www.youtube.com/watch?v=NpqJHyWjh7A" TargetMode="External"/><Relationship Id="rId329" Type="http://schemas.openxmlformats.org/officeDocument/2006/relationships/hyperlink" Target="https://www.youtube.com/watch?v=GpEk4HU0r2Y" TargetMode="External"/><Relationship Id="rId480" Type="http://schemas.openxmlformats.org/officeDocument/2006/relationships/hyperlink" Target="https://www.youtube.com/watch?v=Xsq9jAEpAY8" TargetMode="External"/><Relationship Id="rId536" Type="http://schemas.openxmlformats.org/officeDocument/2006/relationships/hyperlink" Target="https://www.youtube.com/watch?v=bMOOUhzJreA" TargetMode="External"/><Relationship Id="rId701" Type="http://schemas.openxmlformats.org/officeDocument/2006/relationships/hyperlink" Target="https://www.youtube.com/watch?v=MC9pK4dCHAs" TargetMode="External"/><Relationship Id="rId68" Type="http://schemas.openxmlformats.org/officeDocument/2006/relationships/hyperlink" Target="https://www.youtube.com/watch?v=IAmXafhUmYc" TargetMode="External"/><Relationship Id="rId133" Type="http://schemas.openxmlformats.org/officeDocument/2006/relationships/hyperlink" Target="https://www.youtube.com/watch?v=kQP4pUPNjqs" TargetMode="External"/><Relationship Id="rId175" Type="http://schemas.openxmlformats.org/officeDocument/2006/relationships/hyperlink" Target="https://www.youtube.com/watch?v=57-MHC42i7g" TargetMode="External"/><Relationship Id="rId340" Type="http://schemas.openxmlformats.org/officeDocument/2006/relationships/hyperlink" Target="https://www.youtube.com/watch?v=cuauchPBFCY" TargetMode="External"/><Relationship Id="rId578" Type="http://schemas.openxmlformats.org/officeDocument/2006/relationships/hyperlink" Target="https://www.youtube.com/watch?v=wEalKzas5Ig" TargetMode="External"/><Relationship Id="rId743" Type="http://schemas.openxmlformats.org/officeDocument/2006/relationships/hyperlink" Target="https://www.youtube.com/watch?v=sy6xQyjX7qg" TargetMode="External"/><Relationship Id="rId200" Type="http://schemas.openxmlformats.org/officeDocument/2006/relationships/hyperlink" Target="https://www.youtube.com/watch?v=F95dqGlnggo" TargetMode="External"/><Relationship Id="rId382" Type="http://schemas.openxmlformats.org/officeDocument/2006/relationships/hyperlink" Target="https://www.youtube.com/watch?v=V-N1KdB7QTg" TargetMode="External"/><Relationship Id="rId438" Type="http://schemas.openxmlformats.org/officeDocument/2006/relationships/hyperlink" Target="https://www.youtube.com/watch?v=qYA9DVNkOCA" TargetMode="External"/><Relationship Id="rId603" Type="http://schemas.openxmlformats.org/officeDocument/2006/relationships/hyperlink" Target="https://www.youtube.com/watch?v=sLe31yV0Fb4" TargetMode="External"/><Relationship Id="rId645" Type="http://schemas.openxmlformats.org/officeDocument/2006/relationships/hyperlink" Target="https://www.youtube.com/watch?v=-pDxEjRprYM" TargetMode="External"/><Relationship Id="rId687" Type="http://schemas.openxmlformats.org/officeDocument/2006/relationships/hyperlink" Target="https://www.youtube.com/watch?v=Fb11XAvWeyE" TargetMode="External"/><Relationship Id="rId242" Type="http://schemas.openxmlformats.org/officeDocument/2006/relationships/hyperlink" Target="https://www.youtube.com/watch?v=7WA-8QBd5Tk" TargetMode="External"/><Relationship Id="rId284" Type="http://schemas.openxmlformats.org/officeDocument/2006/relationships/hyperlink" Target="https://www.youtube.com/watch?v=Q3ZGmGasWfc" TargetMode="External"/><Relationship Id="rId491" Type="http://schemas.openxmlformats.org/officeDocument/2006/relationships/hyperlink" Target="https://www.youtube.com/watch?v=4PxIlOKBbng" TargetMode="External"/><Relationship Id="rId505" Type="http://schemas.openxmlformats.org/officeDocument/2006/relationships/hyperlink" Target="https://www.youtube.com/watch?v=REfOblHmn6Q" TargetMode="External"/><Relationship Id="rId712" Type="http://schemas.openxmlformats.org/officeDocument/2006/relationships/hyperlink" Target="https://www.youtube.com/watch?v=sI2xSENomQY" TargetMode="External"/><Relationship Id="rId37" Type="http://schemas.openxmlformats.org/officeDocument/2006/relationships/hyperlink" Target="https://www.youtube.com/watch?v=xANxZaCCD70" TargetMode="External"/><Relationship Id="rId79" Type="http://schemas.openxmlformats.org/officeDocument/2006/relationships/hyperlink" Target="https://www.youtube.com/watch?v=uDANJcQm-So" TargetMode="External"/><Relationship Id="rId102" Type="http://schemas.openxmlformats.org/officeDocument/2006/relationships/hyperlink" Target="https://www.youtube.com/watch?v=NPNImjeRrF8" TargetMode="External"/><Relationship Id="rId144" Type="http://schemas.openxmlformats.org/officeDocument/2006/relationships/hyperlink" Target="https://www.youtube.com/watch?v=q1K9wPDzMjU" TargetMode="External"/><Relationship Id="rId547" Type="http://schemas.openxmlformats.org/officeDocument/2006/relationships/hyperlink" Target="https://www.youtube.com/watch?v=dLQSHM_T-jI" TargetMode="External"/><Relationship Id="rId589" Type="http://schemas.openxmlformats.org/officeDocument/2006/relationships/hyperlink" Target="https://www.youtube.com/watch?v=9qgkONu6nbk" TargetMode="External"/><Relationship Id="rId754" Type="http://schemas.openxmlformats.org/officeDocument/2006/relationships/hyperlink" Target="https://www.youtube.com/watch?v=JB_lc00AWIE" TargetMode="External"/><Relationship Id="rId90" Type="http://schemas.openxmlformats.org/officeDocument/2006/relationships/hyperlink" Target="https://www.youtube.com/watch?v=O0wEzvYOTJw" TargetMode="External"/><Relationship Id="rId186" Type="http://schemas.openxmlformats.org/officeDocument/2006/relationships/hyperlink" Target="https://www.youtube.com/watch?v=oeFU8Lk35BI" TargetMode="External"/><Relationship Id="rId351" Type="http://schemas.openxmlformats.org/officeDocument/2006/relationships/hyperlink" Target="https://www.youtube.com/watch?v=YHee5lF9yPc" TargetMode="External"/><Relationship Id="rId393" Type="http://schemas.openxmlformats.org/officeDocument/2006/relationships/hyperlink" Target="https://www.youtube.com/watch?v=go47jpA5M1A" TargetMode="External"/><Relationship Id="rId407" Type="http://schemas.openxmlformats.org/officeDocument/2006/relationships/hyperlink" Target="https://www.youtube.com/watch?v=P1Eurn7tEJM" TargetMode="External"/><Relationship Id="rId449" Type="http://schemas.openxmlformats.org/officeDocument/2006/relationships/hyperlink" Target="https://www.youtube.com/watch?v=xhcu0nbcfy0" TargetMode="External"/><Relationship Id="rId614" Type="http://schemas.openxmlformats.org/officeDocument/2006/relationships/hyperlink" Target="https://www.youtube.com/watch?v=uiJHx80DJcw" TargetMode="External"/><Relationship Id="rId656" Type="http://schemas.openxmlformats.org/officeDocument/2006/relationships/hyperlink" Target="https://www.youtube.com/watch?v=mScbp58xwJE" TargetMode="External"/><Relationship Id="rId211" Type="http://schemas.openxmlformats.org/officeDocument/2006/relationships/hyperlink" Target="https://www.youtube.com/watch?v=F-ZzB9uBQNs" TargetMode="External"/><Relationship Id="rId253" Type="http://schemas.openxmlformats.org/officeDocument/2006/relationships/hyperlink" Target="https://www.youtube.com/watch?v=11Ben3IvDQ0" TargetMode="External"/><Relationship Id="rId295" Type="http://schemas.openxmlformats.org/officeDocument/2006/relationships/hyperlink" Target="https://www.youtube.com/watch?v=c13ZN5rYckE" TargetMode="External"/><Relationship Id="rId309" Type="http://schemas.openxmlformats.org/officeDocument/2006/relationships/hyperlink" Target="https://www.youtube.com/watch?v=9eSzra79z-I" TargetMode="External"/><Relationship Id="rId460" Type="http://schemas.openxmlformats.org/officeDocument/2006/relationships/hyperlink" Target="https://www.youtube.com/watch?v=KdiEMEbTV1M" TargetMode="External"/><Relationship Id="rId516" Type="http://schemas.openxmlformats.org/officeDocument/2006/relationships/hyperlink" Target="https://www.youtube.com/watch?v=6ufhk6JL8x8" TargetMode="External"/><Relationship Id="rId698" Type="http://schemas.openxmlformats.org/officeDocument/2006/relationships/hyperlink" Target="https://www.youtube.com/watch?v=vmOlaD1O5rg" TargetMode="External"/><Relationship Id="rId48" Type="http://schemas.openxmlformats.org/officeDocument/2006/relationships/hyperlink" Target="https://www.youtube.com/watch?v=QEUeYDEFtsE" TargetMode="External"/><Relationship Id="rId113" Type="http://schemas.openxmlformats.org/officeDocument/2006/relationships/hyperlink" Target="https://www.youtube.com/watch?v=myZqody8PTw" TargetMode="External"/><Relationship Id="rId320" Type="http://schemas.openxmlformats.org/officeDocument/2006/relationships/hyperlink" Target="https://www.youtube.com/watch?v=XcIm7eWfJ_M" TargetMode="External"/><Relationship Id="rId558" Type="http://schemas.openxmlformats.org/officeDocument/2006/relationships/hyperlink" Target="https://www.youtube.com/watch?v=n0Ekb7yhf18" TargetMode="External"/><Relationship Id="rId723" Type="http://schemas.openxmlformats.org/officeDocument/2006/relationships/hyperlink" Target="https://www.youtube.com/watch?v=rP79c8rd-jE" TargetMode="External"/><Relationship Id="rId155" Type="http://schemas.openxmlformats.org/officeDocument/2006/relationships/hyperlink" Target="https://www.youtube.com/watch?v=ucgD3lqwZX0" TargetMode="External"/><Relationship Id="rId197" Type="http://schemas.openxmlformats.org/officeDocument/2006/relationships/hyperlink" Target="https://www.youtube.com/watch?v=wm8QHjKcDf8" TargetMode="External"/><Relationship Id="rId362" Type="http://schemas.openxmlformats.org/officeDocument/2006/relationships/hyperlink" Target="https://www.youtube.com/watch?v=DYtc95s7Kpc" TargetMode="External"/><Relationship Id="rId418" Type="http://schemas.openxmlformats.org/officeDocument/2006/relationships/hyperlink" Target="https://www.youtube.com/watch?v=5c75GXSIdlM" TargetMode="External"/><Relationship Id="rId625" Type="http://schemas.openxmlformats.org/officeDocument/2006/relationships/hyperlink" Target="https://www.youtube.com/watch?v=6M1Mp5tvk-E" TargetMode="External"/><Relationship Id="rId222" Type="http://schemas.openxmlformats.org/officeDocument/2006/relationships/hyperlink" Target="https://www.youtube.com/watch?v=cshbkDak_p0" TargetMode="External"/><Relationship Id="rId264" Type="http://schemas.openxmlformats.org/officeDocument/2006/relationships/hyperlink" Target="https://www.youtube.com/watch?v=mNRX-8C-RmY" TargetMode="External"/><Relationship Id="rId471" Type="http://schemas.openxmlformats.org/officeDocument/2006/relationships/hyperlink" Target="https://www.youtube.com/watch?v=NRep5rGd_FU" TargetMode="External"/><Relationship Id="rId667" Type="http://schemas.openxmlformats.org/officeDocument/2006/relationships/hyperlink" Target="https://www.youtube.com/watch?v=XfaMChybaCc" TargetMode="External"/><Relationship Id="rId17" Type="http://schemas.openxmlformats.org/officeDocument/2006/relationships/hyperlink" Target="https://www.youtube.com/watch?v=tkF_3Ixn02I" TargetMode="External"/><Relationship Id="rId59" Type="http://schemas.openxmlformats.org/officeDocument/2006/relationships/hyperlink" Target="https://www.youtube.com/watch?v=ByaheAphduQ" TargetMode="External"/><Relationship Id="rId124" Type="http://schemas.openxmlformats.org/officeDocument/2006/relationships/hyperlink" Target="https://www.youtube.com/watch?v=BF7tCmPOjs4" TargetMode="External"/><Relationship Id="rId527" Type="http://schemas.openxmlformats.org/officeDocument/2006/relationships/hyperlink" Target="https://www.youtube.com/watch?v=iZ6Xk9YCaaY" TargetMode="External"/><Relationship Id="rId569" Type="http://schemas.openxmlformats.org/officeDocument/2006/relationships/hyperlink" Target="https://www.youtube.com/watch?v=i24adZlRCZk" TargetMode="External"/><Relationship Id="rId734" Type="http://schemas.openxmlformats.org/officeDocument/2006/relationships/hyperlink" Target="https://www.youtube.com/watch?v=8gCMYZ-alVw" TargetMode="External"/><Relationship Id="rId70" Type="http://schemas.openxmlformats.org/officeDocument/2006/relationships/hyperlink" Target="https://www.youtube.com/watch?v=J5mYtIH7Pho" TargetMode="External"/><Relationship Id="rId166" Type="http://schemas.openxmlformats.org/officeDocument/2006/relationships/hyperlink" Target="https://www.youtube.com/watch?v=itgdRwuvtN0" TargetMode="External"/><Relationship Id="rId331" Type="http://schemas.openxmlformats.org/officeDocument/2006/relationships/hyperlink" Target="https://www.youtube.com/watch?v=liKAbE7beNI" TargetMode="External"/><Relationship Id="rId373" Type="http://schemas.openxmlformats.org/officeDocument/2006/relationships/hyperlink" Target="https://www.youtube.com/watch?v=A6j1KcojG0E" TargetMode="External"/><Relationship Id="rId429" Type="http://schemas.openxmlformats.org/officeDocument/2006/relationships/hyperlink" Target="https://www.youtube.com/watch?v=bFIqLn3c85c" TargetMode="External"/><Relationship Id="rId580" Type="http://schemas.openxmlformats.org/officeDocument/2006/relationships/hyperlink" Target="https://www.youtube.com/watch?v=HmKETjjGv0E" TargetMode="External"/><Relationship Id="rId636" Type="http://schemas.openxmlformats.org/officeDocument/2006/relationships/hyperlink" Target="https://www.youtube.com/watch?v=ImpfhngYCCA" TargetMode="External"/><Relationship Id="rId1" Type="http://schemas.openxmlformats.org/officeDocument/2006/relationships/hyperlink" Target="https://www.youtube.com/watch?v=RD7JpM4UrUA" TargetMode="External"/><Relationship Id="rId233" Type="http://schemas.openxmlformats.org/officeDocument/2006/relationships/hyperlink" Target="https://www.youtube.com/watch?v=-rJtFWVJpjA" TargetMode="External"/><Relationship Id="rId440" Type="http://schemas.openxmlformats.org/officeDocument/2006/relationships/hyperlink" Target="https://www.youtube.com/watch?v=kSNHRGhGt_Y" TargetMode="External"/><Relationship Id="rId678" Type="http://schemas.openxmlformats.org/officeDocument/2006/relationships/hyperlink" Target="https://www.youtube.com/watch?v=edQr4IJQuEg" TargetMode="External"/><Relationship Id="rId28" Type="http://schemas.openxmlformats.org/officeDocument/2006/relationships/hyperlink" Target="https://www.youtube.com/watch?v=N0PD3TuLvoo" TargetMode="External"/><Relationship Id="rId275" Type="http://schemas.openxmlformats.org/officeDocument/2006/relationships/hyperlink" Target="https://www.youtube.com/watch?v=srr9jTynwdo" TargetMode="External"/><Relationship Id="rId300" Type="http://schemas.openxmlformats.org/officeDocument/2006/relationships/hyperlink" Target="https://www.youtube.com/watch?v=OHn7cvWw5gE" TargetMode="External"/><Relationship Id="rId482" Type="http://schemas.openxmlformats.org/officeDocument/2006/relationships/hyperlink" Target="https://www.youtube.com/watch?v=xAx9rKxKjCk" TargetMode="External"/><Relationship Id="rId538" Type="http://schemas.openxmlformats.org/officeDocument/2006/relationships/hyperlink" Target="https://www.youtube.com/watch?v=0W0XxcsCH_0" TargetMode="External"/><Relationship Id="rId703" Type="http://schemas.openxmlformats.org/officeDocument/2006/relationships/hyperlink" Target="https://www.youtube.com/watch?v=lQph5joRdU8" TargetMode="External"/><Relationship Id="rId745" Type="http://schemas.openxmlformats.org/officeDocument/2006/relationships/hyperlink" Target="https://www.youtube.com/watch?v=s4vjcCAXvVI" TargetMode="External"/><Relationship Id="rId81" Type="http://schemas.openxmlformats.org/officeDocument/2006/relationships/hyperlink" Target="https://www.youtube.com/watch?v=4eM5V0OXNNU" TargetMode="External"/><Relationship Id="rId135" Type="http://schemas.openxmlformats.org/officeDocument/2006/relationships/hyperlink" Target="https://www.youtube.com/watch?v=7jIfpSOnmK8" TargetMode="External"/><Relationship Id="rId177" Type="http://schemas.openxmlformats.org/officeDocument/2006/relationships/hyperlink" Target="https://www.youtube.com/watch?v=17Jnr2hr0ro" TargetMode="External"/><Relationship Id="rId342" Type="http://schemas.openxmlformats.org/officeDocument/2006/relationships/hyperlink" Target="https://www.youtube.com/watch?v=vEdOCEkdY9Q" TargetMode="External"/><Relationship Id="rId384" Type="http://schemas.openxmlformats.org/officeDocument/2006/relationships/hyperlink" Target="https://www.youtube.com/watch?v=G1vj3YNYQYg" TargetMode="External"/><Relationship Id="rId591" Type="http://schemas.openxmlformats.org/officeDocument/2006/relationships/hyperlink" Target="https://www.youtube.com/watch?v=Qh0tc43apsI" TargetMode="External"/><Relationship Id="rId605" Type="http://schemas.openxmlformats.org/officeDocument/2006/relationships/hyperlink" Target="https://www.youtube.com/watch?v=EKyX0QsZVJc" TargetMode="External"/><Relationship Id="rId202" Type="http://schemas.openxmlformats.org/officeDocument/2006/relationships/hyperlink" Target="https://www.youtube.com/watch?v=5YuNKvTZtdM" TargetMode="External"/><Relationship Id="rId244" Type="http://schemas.openxmlformats.org/officeDocument/2006/relationships/hyperlink" Target="https://www.youtube.com/watch?v=4gAHt9ki2xY" TargetMode="External"/><Relationship Id="rId647" Type="http://schemas.openxmlformats.org/officeDocument/2006/relationships/hyperlink" Target="https://www.youtube.com/watch?v=Voaw-uef3Tw" TargetMode="External"/><Relationship Id="rId689" Type="http://schemas.openxmlformats.org/officeDocument/2006/relationships/hyperlink" Target="https://www.youtube.com/watch?v=kcbL1wC9PEg" TargetMode="External"/><Relationship Id="rId39" Type="http://schemas.openxmlformats.org/officeDocument/2006/relationships/hyperlink" Target="https://www.youtube.com/watch?v=iS7CE9mrtI4" TargetMode="External"/><Relationship Id="rId286" Type="http://schemas.openxmlformats.org/officeDocument/2006/relationships/hyperlink" Target="https://www.youtube.com/watch?v=Uxcvh2BQu1g" TargetMode="External"/><Relationship Id="rId451" Type="http://schemas.openxmlformats.org/officeDocument/2006/relationships/hyperlink" Target="https://www.youtube.com/watch?v=dSKwv3KOvN8" TargetMode="External"/><Relationship Id="rId493" Type="http://schemas.openxmlformats.org/officeDocument/2006/relationships/hyperlink" Target="https://www.youtube.com/watch?v=s_eR4_6kip8" TargetMode="External"/><Relationship Id="rId507" Type="http://schemas.openxmlformats.org/officeDocument/2006/relationships/hyperlink" Target="https://www.youtube.com/watch?v=xl6nyKVDNCQ" TargetMode="External"/><Relationship Id="rId549" Type="http://schemas.openxmlformats.org/officeDocument/2006/relationships/hyperlink" Target="https://www.youtube.com/watch?v=0ol6BUtHZu8" TargetMode="External"/><Relationship Id="rId714" Type="http://schemas.openxmlformats.org/officeDocument/2006/relationships/hyperlink" Target="https://www.youtube.com/watch?v=inDcB8LwlqI" TargetMode="External"/><Relationship Id="rId756" Type="http://schemas.openxmlformats.org/officeDocument/2006/relationships/hyperlink" Target="https://www.youtube.com/watch?v=9QSUsKZfoQA&amp;t=156s" TargetMode="External"/><Relationship Id="rId50" Type="http://schemas.openxmlformats.org/officeDocument/2006/relationships/hyperlink" Target="https://www.youtube.com/watch?v=8qjQH_-WzyE" TargetMode="External"/><Relationship Id="rId104" Type="http://schemas.openxmlformats.org/officeDocument/2006/relationships/hyperlink" Target="https://www.youtube.com/watch?v=MOkWSa69NKA" TargetMode="External"/><Relationship Id="rId146" Type="http://schemas.openxmlformats.org/officeDocument/2006/relationships/hyperlink" Target="https://www.youtube.com/watch?v=p6HgGSKj2m8" TargetMode="External"/><Relationship Id="rId188" Type="http://schemas.openxmlformats.org/officeDocument/2006/relationships/hyperlink" Target="https://www.youtube.com/watch?v=uNPifASaoFM" TargetMode="External"/><Relationship Id="rId311" Type="http://schemas.openxmlformats.org/officeDocument/2006/relationships/hyperlink" Target="https://www.youtube.com/watch?v=zm-fPGwlflY" TargetMode="External"/><Relationship Id="rId353" Type="http://schemas.openxmlformats.org/officeDocument/2006/relationships/hyperlink" Target="https://www.youtube.com/watch?v=yp1ZVELrxIA" TargetMode="External"/><Relationship Id="rId395" Type="http://schemas.openxmlformats.org/officeDocument/2006/relationships/hyperlink" Target="https://www.youtube.com/watch?v=1VZl4rtt2aU" TargetMode="External"/><Relationship Id="rId409" Type="http://schemas.openxmlformats.org/officeDocument/2006/relationships/hyperlink" Target="https://www.youtube.com/watch?v=5P0vjP1Hdvs" TargetMode="External"/><Relationship Id="rId560" Type="http://schemas.openxmlformats.org/officeDocument/2006/relationships/hyperlink" Target="https://www.youtube.com/watch?v=fZLoHeGF4XI" TargetMode="External"/><Relationship Id="rId92" Type="http://schemas.openxmlformats.org/officeDocument/2006/relationships/hyperlink" Target="https://www.youtube.com/watch?v=VP5gPVW3XDM" TargetMode="External"/><Relationship Id="rId213" Type="http://schemas.openxmlformats.org/officeDocument/2006/relationships/hyperlink" Target="https://www.youtube.com/watch?v=8ZJ9Ubv74Fc" TargetMode="External"/><Relationship Id="rId420" Type="http://schemas.openxmlformats.org/officeDocument/2006/relationships/hyperlink" Target="https://www.youtube.com/watch?v=rbrxzObExNc" TargetMode="External"/><Relationship Id="rId616" Type="http://schemas.openxmlformats.org/officeDocument/2006/relationships/hyperlink" Target="https://www.youtube.com/watch?v=Y5sHrOViVq0" TargetMode="External"/><Relationship Id="rId658" Type="http://schemas.openxmlformats.org/officeDocument/2006/relationships/hyperlink" Target="https://www.youtube.com/watch?v=qzXGb7RIXmc" TargetMode="External"/><Relationship Id="rId255" Type="http://schemas.openxmlformats.org/officeDocument/2006/relationships/hyperlink" Target="https://www.youtube.com/watch?v=6oKx_bFPSSA" TargetMode="External"/><Relationship Id="rId297" Type="http://schemas.openxmlformats.org/officeDocument/2006/relationships/hyperlink" Target="https://www.youtube.com/watch?v=FrXBeS9Vj40" TargetMode="External"/><Relationship Id="rId462" Type="http://schemas.openxmlformats.org/officeDocument/2006/relationships/hyperlink" Target="https://www.youtube.com/watch?v=9VsQzAI5PLo" TargetMode="External"/><Relationship Id="rId518" Type="http://schemas.openxmlformats.org/officeDocument/2006/relationships/hyperlink" Target="https://www.youtube.com/watch?v=D7yIybTWmmU" TargetMode="External"/><Relationship Id="rId725" Type="http://schemas.openxmlformats.org/officeDocument/2006/relationships/hyperlink" Target="https://www.youtube.com/watch?v=OmWUkxANoEk" TargetMode="External"/><Relationship Id="rId115" Type="http://schemas.openxmlformats.org/officeDocument/2006/relationships/hyperlink" Target="https://www.youtube.com/watch?v=eKtCOiQbVX0" TargetMode="External"/><Relationship Id="rId157" Type="http://schemas.openxmlformats.org/officeDocument/2006/relationships/hyperlink" Target="https://www.youtube.com/watch?v=d9KgrM48iGg" TargetMode="External"/><Relationship Id="rId322" Type="http://schemas.openxmlformats.org/officeDocument/2006/relationships/hyperlink" Target="https://www.youtube.com/watch?v=RaNpNJVvWDI" TargetMode="External"/><Relationship Id="rId364" Type="http://schemas.openxmlformats.org/officeDocument/2006/relationships/hyperlink" Target="https://www.youtube.com/watch?v=ZpdQsUkjwMc" TargetMode="External"/><Relationship Id="rId61" Type="http://schemas.openxmlformats.org/officeDocument/2006/relationships/hyperlink" Target="https://www.youtube.com/watch?v=QZxRsM9xvK4" TargetMode="External"/><Relationship Id="rId199" Type="http://schemas.openxmlformats.org/officeDocument/2006/relationships/hyperlink" Target="https://www.youtube.com/watch?v=ja-cxuo3ugc" TargetMode="External"/><Relationship Id="rId571" Type="http://schemas.openxmlformats.org/officeDocument/2006/relationships/hyperlink" Target="https://www.youtube.com/watch?v=BKG8mWyOvuw" TargetMode="External"/><Relationship Id="rId627" Type="http://schemas.openxmlformats.org/officeDocument/2006/relationships/hyperlink" Target="https://www.youtube.com/watch?v=13shkRG4RMc" TargetMode="External"/><Relationship Id="rId669" Type="http://schemas.openxmlformats.org/officeDocument/2006/relationships/hyperlink" Target="https://www.youtube.com/watch?v=rt5w2HzSWc0" TargetMode="External"/><Relationship Id="rId19" Type="http://schemas.openxmlformats.org/officeDocument/2006/relationships/hyperlink" Target="https://www.youtube.com/watch?v=Wpkt3HpzBTs" TargetMode="External"/><Relationship Id="rId224" Type="http://schemas.openxmlformats.org/officeDocument/2006/relationships/hyperlink" Target="https://www.youtube.com/watch?v=myyrtrylWQs" TargetMode="External"/><Relationship Id="rId266" Type="http://schemas.openxmlformats.org/officeDocument/2006/relationships/hyperlink" Target="https://www.youtube.com/watch?v=zyTsxv3NJzA" TargetMode="External"/><Relationship Id="rId431" Type="http://schemas.openxmlformats.org/officeDocument/2006/relationships/hyperlink" Target="https://www.youtube.com/watch?v=S2ePhtW_O5A" TargetMode="External"/><Relationship Id="rId473" Type="http://schemas.openxmlformats.org/officeDocument/2006/relationships/hyperlink" Target="https://www.youtube.com/watch?v=GB9g4sKWR0M" TargetMode="External"/><Relationship Id="rId529" Type="http://schemas.openxmlformats.org/officeDocument/2006/relationships/hyperlink" Target="https://www.youtube.com/watch?v=Q7TqlnXF3cA" TargetMode="External"/><Relationship Id="rId680" Type="http://schemas.openxmlformats.org/officeDocument/2006/relationships/hyperlink" Target="https://www.youtube.com/watch?v=BlNY-1vmqvA" TargetMode="External"/><Relationship Id="rId736" Type="http://schemas.openxmlformats.org/officeDocument/2006/relationships/hyperlink" Target="https://www.youtube.com/watch?v=HQK8u4lh7y0" TargetMode="External"/><Relationship Id="rId30" Type="http://schemas.openxmlformats.org/officeDocument/2006/relationships/hyperlink" Target="https://www.youtube.com/watch?v=dp7l5qmLHJI" TargetMode="External"/><Relationship Id="rId126" Type="http://schemas.openxmlformats.org/officeDocument/2006/relationships/hyperlink" Target="https://www.youtube.com/watch?v=6LOxjxiZ3NQ" TargetMode="External"/><Relationship Id="rId168" Type="http://schemas.openxmlformats.org/officeDocument/2006/relationships/hyperlink" Target="https://www.youtube.com/watch?v=UuJzHq-Ont4" TargetMode="External"/><Relationship Id="rId333" Type="http://schemas.openxmlformats.org/officeDocument/2006/relationships/hyperlink" Target="https://www.youtube.com/watch?v=afXofZLlzB4" TargetMode="External"/><Relationship Id="rId540" Type="http://schemas.openxmlformats.org/officeDocument/2006/relationships/hyperlink" Target="https://www.youtube.com/watch?v=Wr_CIMPuH3I" TargetMode="External"/><Relationship Id="rId72" Type="http://schemas.openxmlformats.org/officeDocument/2006/relationships/hyperlink" Target="https://www.youtube.com/watch?v=MlTxtaiX1xI" TargetMode="External"/><Relationship Id="rId375" Type="http://schemas.openxmlformats.org/officeDocument/2006/relationships/hyperlink" Target="https://www.youtube.com/watch?v=dJ9wpyiJSSI" TargetMode="External"/><Relationship Id="rId582" Type="http://schemas.openxmlformats.org/officeDocument/2006/relationships/hyperlink" Target="https://www.youtube.com/watch?v=B1KtIwSP4_U" TargetMode="External"/><Relationship Id="rId638" Type="http://schemas.openxmlformats.org/officeDocument/2006/relationships/hyperlink" Target="https://www.youtube.com/watch?v=NpCmOPhka6g" TargetMode="External"/><Relationship Id="rId3" Type="http://schemas.openxmlformats.org/officeDocument/2006/relationships/hyperlink" Target="https://www.youtube.com/watch?v=21ZKFBL-Yc0" TargetMode="External"/><Relationship Id="rId235" Type="http://schemas.openxmlformats.org/officeDocument/2006/relationships/hyperlink" Target="https://www.youtube.com/watch?v=KBA7GLExw3o" TargetMode="External"/><Relationship Id="rId277" Type="http://schemas.openxmlformats.org/officeDocument/2006/relationships/hyperlink" Target="https://www.youtube.com/watch?v=AuVaei10Du0" TargetMode="External"/><Relationship Id="rId400" Type="http://schemas.openxmlformats.org/officeDocument/2006/relationships/hyperlink" Target="https://www.youtube.com/watch?v=1-5q-Da6EHQ" TargetMode="External"/><Relationship Id="rId442" Type="http://schemas.openxmlformats.org/officeDocument/2006/relationships/hyperlink" Target="https://www.youtube.com/watch?v=glBt8I5y1b8" TargetMode="External"/><Relationship Id="rId484" Type="http://schemas.openxmlformats.org/officeDocument/2006/relationships/hyperlink" Target="https://www.youtube.com/watch?v=9oRLNbl-DxI" TargetMode="External"/><Relationship Id="rId705" Type="http://schemas.openxmlformats.org/officeDocument/2006/relationships/hyperlink" Target="https://www.youtube.com/watch?v=Zused4CGMw4" TargetMode="External"/><Relationship Id="rId137" Type="http://schemas.openxmlformats.org/officeDocument/2006/relationships/hyperlink" Target="https://www.youtube.com/watch?v=2WYZtS_LLog" TargetMode="External"/><Relationship Id="rId302" Type="http://schemas.openxmlformats.org/officeDocument/2006/relationships/hyperlink" Target="https://www.youtube.com/watch?v=tNKCTknE59M" TargetMode="External"/><Relationship Id="rId344" Type="http://schemas.openxmlformats.org/officeDocument/2006/relationships/hyperlink" Target="https://www.youtube.com/watch?v=Uk3mD3cAFXg" TargetMode="External"/><Relationship Id="rId691" Type="http://schemas.openxmlformats.org/officeDocument/2006/relationships/hyperlink" Target="https://www.youtube.com/watch?v=0RYS6V76lRQ" TargetMode="External"/><Relationship Id="rId747" Type="http://schemas.openxmlformats.org/officeDocument/2006/relationships/hyperlink" Target="https://www.youtube.com/watch?v=c50rfZlrNXU" TargetMode="External"/><Relationship Id="rId41" Type="http://schemas.openxmlformats.org/officeDocument/2006/relationships/hyperlink" Target="https://www.youtube.com/watch?v=6_9IYK6ZlyY" TargetMode="External"/><Relationship Id="rId83" Type="http://schemas.openxmlformats.org/officeDocument/2006/relationships/hyperlink" Target="https://www.youtube.com/watch?v=3pxgnl2fHZg" TargetMode="External"/><Relationship Id="rId179" Type="http://schemas.openxmlformats.org/officeDocument/2006/relationships/hyperlink" Target="https://www.youtube.com/watch?v=MBzty84VgRo" TargetMode="External"/><Relationship Id="rId386" Type="http://schemas.openxmlformats.org/officeDocument/2006/relationships/hyperlink" Target="https://www.youtube.com/watch?v=yB7P6V4_zUw" TargetMode="External"/><Relationship Id="rId551" Type="http://schemas.openxmlformats.org/officeDocument/2006/relationships/hyperlink" Target="https://www.youtube.com/watch?v=Zr29r9gnq6A" TargetMode="External"/><Relationship Id="rId593" Type="http://schemas.openxmlformats.org/officeDocument/2006/relationships/hyperlink" Target="https://www.youtube.com/watch?v=MqvZxu1TaSQ" TargetMode="External"/><Relationship Id="rId607" Type="http://schemas.openxmlformats.org/officeDocument/2006/relationships/hyperlink" Target="https://www.youtube.com/watch?v=J2Z6w1bXfYc" TargetMode="External"/><Relationship Id="rId649" Type="http://schemas.openxmlformats.org/officeDocument/2006/relationships/hyperlink" Target="https://www.youtube.com/watch?v=n5lHU4Qyfbk" TargetMode="External"/><Relationship Id="rId190" Type="http://schemas.openxmlformats.org/officeDocument/2006/relationships/hyperlink" Target="https://www.youtube.com/watch?v=yIUwgFjMrg8" TargetMode="External"/><Relationship Id="rId204" Type="http://schemas.openxmlformats.org/officeDocument/2006/relationships/hyperlink" Target="https://www.youtube.com/watch?v=182HueOxCaU" TargetMode="External"/><Relationship Id="rId246" Type="http://schemas.openxmlformats.org/officeDocument/2006/relationships/hyperlink" Target="https://www.youtube.com/watch?v=1_8y5fSSOlE" TargetMode="External"/><Relationship Id="rId288" Type="http://schemas.openxmlformats.org/officeDocument/2006/relationships/hyperlink" Target="https://www.youtube.com/watch?v=j84sUcOTBRM" TargetMode="External"/><Relationship Id="rId411" Type="http://schemas.openxmlformats.org/officeDocument/2006/relationships/hyperlink" Target="https://www.youtube.com/watch?v=F4X3ljkLFP8" TargetMode="External"/><Relationship Id="rId453" Type="http://schemas.openxmlformats.org/officeDocument/2006/relationships/hyperlink" Target="https://www.youtube.com/watch?v=LEotomBnsQk" TargetMode="External"/><Relationship Id="rId509" Type="http://schemas.openxmlformats.org/officeDocument/2006/relationships/hyperlink" Target="https://www.youtube.com/watch?v=1uNyxmccf1U" TargetMode="External"/><Relationship Id="rId660" Type="http://schemas.openxmlformats.org/officeDocument/2006/relationships/hyperlink" Target="https://www.youtube.com/watch?v=C6sAuCIhIzA" TargetMode="External"/><Relationship Id="rId106" Type="http://schemas.openxmlformats.org/officeDocument/2006/relationships/hyperlink" Target="https://www.youtube.com/watch?v=tUBrwCmKx8s" TargetMode="External"/><Relationship Id="rId313" Type="http://schemas.openxmlformats.org/officeDocument/2006/relationships/hyperlink" Target="https://www.youtube.com/watch?v=kpktr2ml8m8" TargetMode="External"/><Relationship Id="rId495" Type="http://schemas.openxmlformats.org/officeDocument/2006/relationships/hyperlink" Target="https://www.youtube.com/watch?v=CLCX0mlWjw0" TargetMode="External"/><Relationship Id="rId716" Type="http://schemas.openxmlformats.org/officeDocument/2006/relationships/hyperlink" Target="https://www.youtube.com/watch?v=oLCI7vQ7WFk" TargetMode="External"/><Relationship Id="rId758" Type="http://schemas.openxmlformats.org/officeDocument/2006/relationships/drawing" Target="../drawings/drawing3.xml"/><Relationship Id="rId10" Type="http://schemas.openxmlformats.org/officeDocument/2006/relationships/hyperlink" Target="https://www.youtube.com/watch?v=Kxuiy8OL30w" TargetMode="External"/><Relationship Id="rId52" Type="http://schemas.openxmlformats.org/officeDocument/2006/relationships/hyperlink" Target="https://www.youtube.com/watch?v=-udb2VYB5uo" TargetMode="External"/><Relationship Id="rId94" Type="http://schemas.openxmlformats.org/officeDocument/2006/relationships/hyperlink" Target="https://www.youtube.com/watch?v=fjD9BVlmPoA" TargetMode="External"/><Relationship Id="rId148" Type="http://schemas.openxmlformats.org/officeDocument/2006/relationships/hyperlink" Target="https://www.youtube.com/watch?v=sdhISUDYvX4" TargetMode="External"/><Relationship Id="rId355" Type="http://schemas.openxmlformats.org/officeDocument/2006/relationships/hyperlink" Target="https://www.youtube.com/watch?v=hPD7CW4JiSA" TargetMode="External"/><Relationship Id="rId397" Type="http://schemas.openxmlformats.org/officeDocument/2006/relationships/hyperlink" Target="https://www.youtube.com/watch?v=BNly0XIZX6c" TargetMode="External"/><Relationship Id="rId520" Type="http://schemas.openxmlformats.org/officeDocument/2006/relationships/hyperlink" Target="https://www.youtube.com/watch?v=4pkD8CkJiIQ" TargetMode="External"/><Relationship Id="rId562" Type="http://schemas.openxmlformats.org/officeDocument/2006/relationships/hyperlink" Target="https://www.youtube.com/watch?v=8M2LUwJGwHw" TargetMode="External"/><Relationship Id="rId618" Type="http://schemas.openxmlformats.org/officeDocument/2006/relationships/hyperlink" Target="https://www.youtube.com/watch?v=kDDNkLWPpUc"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www.youtube.com/watch?v=mjFek0gF97s" TargetMode="External"/><Relationship Id="rId13" Type="http://schemas.openxmlformats.org/officeDocument/2006/relationships/hyperlink" Target="https://www.youtube.com/watch?v=KVDRl_wLqdM" TargetMode="External"/><Relationship Id="rId18" Type="http://schemas.openxmlformats.org/officeDocument/2006/relationships/hyperlink" Target="https://www.youtube.com/watch?v=s3LVHHEe2vc" TargetMode="External"/><Relationship Id="rId26" Type="http://schemas.openxmlformats.org/officeDocument/2006/relationships/drawing" Target="../drawings/drawing4.xml"/><Relationship Id="rId3" Type="http://schemas.openxmlformats.org/officeDocument/2006/relationships/hyperlink" Target="https://www.youtube.com/watch?v=21ZKFBL-Yc0" TargetMode="External"/><Relationship Id="rId21" Type="http://schemas.openxmlformats.org/officeDocument/2006/relationships/hyperlink" Target="https://www.youtube.com/watch?v=8RSu4ymCgp4" TargetMode="External"/><Relationship Id="rId7" Type="http://schemas.openxmlformats.org/officeDocument/2006/relationships/hyperlink" Target="https://www.youtube.com/watch?v=PcNDlU0LyJk" TargetMode="External"/><Relationship Id="rId12" Type="http://schemas.openxmlformats.org/officeDocument/2006/relationships/hyperlink" Target="https://www.youtube.com/watch?v=2UnJMns3fjs" TargetMode="External"/><Relationship Id="rId17" Type="http://schemas.openxmlformats.org/officeDocument/2006/relationships/hyperlink" Target="https://www.youtube.com/watch?v=ByaheAphduQ" TargetMode="External"/><Relationship Id="rId25" Type="http://schemas.openxmlformats.org/officeDocument/2006/relationships/hyperlink" Target="https://www.youtube.com/watch?v=cpZPvFvzNlc" TargetMode="External"/><Relationship Id="rId2" Type="http://schemas.openxmlformats.org/officeDocument/2006/relationships/hyperlink" Target="https://www.youtube.com/watch?v=jKuCWHsoXmQ" TargetMode="External"/><Relationship Id="rId16" Type="http://schemas.openxmlformats.org/officeDocument/2006/relationships/hyperlink" Target="https://www.youtube.com/watch?v=NCOKqHoIW7M" TargetMode="External"/><Relationship Id="rId20" Type="http://schemas.openxmlformats.org/officeDocument/2006/relationships/hyperlink" Target="https://www.youtube.com/watch?v=NPNImjeRrF8" TargetMode="External"/><Relationship Id="rId1" Type="http://schemas.openxmlformats.org/officeDocument/2006/relationships/hyperlink" Target="https://www.youtube.com/watch?v=RD7JpM4UrUA" TargetMode="External"/><Relationship Id="rId6" Type="http://schemas.openxmlformats.org/officeDocument/2006/relationships/hyperlink" Target="https://www.youtube.com/watch?v=WU456HIXN5U" TargetMode="External"/><Relationship Id="rId11" Type="http://schemas.openxmlformats.org/officeDocument/2006/relationships/hyperlink" Target="https://www.youtube.com/watch?v=jMgGGixmfus" TargetMode="External"/><Relationship Id="rId24" Type="http://schemas.openxmlformats.org/officeDocument/2006/relationships/hyperlink" Target="https://www.youtube.com/watch?v=fjD9BVlmPoA" TargetMode="External"/><Relationship Id="rId5" Type="http://schemas.openxmlformats.org/officeDocument/2006/relationships/hyperlink" Target="https://www.youtube.com/watch?v=7WsGnkGob7A" TargetMode="External"/><Relationship Id="rId15" Type="http://schemas.openxmlformats.org/officeDocument/2006/relationships/hyperlink" Target="https://www.youtube.com/watch?v=iBwpK4_JtEw" TargetMode="External"/><Relationship Id="rId23" Type="http://schemas.openxmlformats.org/officeDocument/2006/relationships/hyperlink" Target="https://www.youtube.com/watch?v=uDANJcQm-So" TargetMode="External"/><Relationship Id="rId28" Type="http://schemas.openxmlformats.org/officeDocument/2006/relationships/comments" Target="../comments4.xml"/><Relationship Id="rId10" Type="http://schemas.openxmlformats.org/officeDocument/2006/relationships/hyperlink" Target="https://www.youtube.com/watch?v=Kxuiy8OL30w" TargetMode="External"/><Relationship Id="rId19" Type="http://schemas.openxmlformats.org/officeDocument/2006/relationships/hyperlink" Target="https://www.youtube.com/watch?v=YFmL65VsWdk" TargetMode="External"/><Relationship Id="rId4" Type="http://schemas.openxmlformats.org/officeDocument/2006/relationships/hyperlink" Target="https://www.youtube.com/watch?v=FytdS2vMJfU" TargetMode="External"/><Relationship Id="rId9" Type="http://schemas.openxmlformats.org/officeDocument/2006/relationships/hyperlink" Target="https://www.youtube.com/watch?v=0_EJXPWJN4E" TargetMode="External"/><Relationship Id="rId14" Type="http://schemas.openxmlformats.org/officeDocument/2006/relationships/hyperlink" Target="https://www.youtube.com/watch?v=Smd_3o5vtLo" TargetMode="External"/><Relationship Id="rId22" Type="http://schemas.openxmlformats.org/officeDocument/2006/relationships/hyperlink" Target="https://www.youtube.com/watch?v=Vf5BOYF0S3Y" TargetMode="External"/><Relationship Id="rId27"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8" Type="http://schemas.openxmlformats.org/officeDocument/2006/relationships/hyperlink" Target="https://www.youtube.com/watch?v=G3NpQQMh8jQ" TargetMode="External"/><Relationship Id="rId13" Type="http://schemas.openxmlformats.org/officeDocument/2006/relationships/hyperlink" Target="https://www.youtube.com/watch?v=qCG2vqnaUx4" TargetMode="External"/><Relationship Id="rId18" Type="http://schemas.openxmlformats.org/officeDocument/2006/relationships/hyperlink" Target="https://www.youtube.com/watch?v=vHWsmGyjOk0" TargetMode="External"/><Relationship Id="rId3" Type="http://schemas.openxmlformats.org/officeDocument/2006/relationships/hyperlink" Target="https://www.youtube.com/watch?v=5LJPOCxc3E8" TargetMode="External"/><Relationship Id="rId21" Type="http://schemas.openxmlformats.org/officeDocument/2006/relationships/drawing" Target="../drawings/drawing5.xml"/><Relationship Id="rId7" Type="http://schemas.openxmlformats.org/officeDocument/2006/relationships/hyperlink" Target="https://www.youtube.com/watch?v=C3_6Ub1GnfA" TargetMode="External"/><Relationship Id="rId12" Type="http://schemas.openxmlformats.org/officeDocument/2006/relationships/hyperlink" Target="https://www.youtube.com/watch?v=lzMEDrUFlpw" TargetMode="External"/><Relationship Id="rId17" Type="http://schemas.openxmlformats.org/officeDocument/2006/relationships/hyperlink" Target="https://www.youtube.com/watch?v=8qjQH_-WzyE" TargetMode="External"/><Relationship Id="rId2" Type="http://schemas.openxmlformats.org/officeDocument/2006/relationships/hyperlink" Target="https://www.youtube.com/watch?v=Uq2PJjcHiqI" TargetMode="External"/><Relationship Id="rId16" Type="http://schemas.openxmlformats.org/officeDocument/2006/relationships/hyperlink" Target="https://www.youtube.com/watch?v=VeR7IhIkDk0" TargetMode="External"/><Relationship Id="rId20" Type="http://schemas.openxmlformats.org/officeDocument/2006/relationships/hyperlink" Target="https://www.youtube.com/watch?v=f-MLHIb4dFU" TargetMode="External"/><Relationship Id="rId1" Type="http://schemas.openxmlformats.org/officeDocument/2006/relationships/hyperlink" Target="https://www.youtube.com/watch?v=_IcfDP-ezpo" TargetMode="External"/><Relationship Id="rId6" Type="http://schemas.openxmlformats.org/officeDocument/2006/relationships/hyperlink" Target="https://www.youtube.com/watch?v=N0PD3TuLvoo" TargetMode="External"/><Relationship Id="rId11" Type="http://schemas.openxmlformats.org/officeDocument/2006/relationships/hyperlink" Target="https://www.youtube.com/watch?v=BEz8X5SUwjY" TargetMode="External"/><Relationship Id="rId5" Type="http://schemas.openxmlformats.org/officeDocument/2006/relationships/hyperlink" Target="https://www.youtube.com/watch?v=WsjxXfklatk" TargetMode="External"/><Relationship Id="rId15" Type="http://schemas.openxmlformats.org/officeDocument/2006/relationships/hyperlink" Target="https://www.youtube.com/watch?v=xANxZaCCD70" TargetMode="External"/><Relationship Id="rId23" Type="http://schemas.openxmlformats.org/officeDocument/2006/relationships/comments" Target="../comments5.xml"/><Relationship Id="rId10" Type="http://schemas.openxmlformats.org/officeDocument/2006/relationships/hyperlink" Target="https://www.youtube.com/watch?v=gbWoqwJKhbM" TargetMode="External"/><Relationship Id="rId19" Type="http://schemas.openxmlformats.org/officeDocument/2006/relationships/hyperlink" Target="https://www.youtube.com/watch?v=-udb2VYB5uo" TargetMode="External"/><Relationship Id="rId4" Type="http://schemas.openxmlformats.org/officeDocument/2006/relationships/hyperlink" Target="https://www.youtube.com/watch?v=RdBz1kIwrqo" TargetMode="External"/><Relationship Id="rId9" Type="http://schemas.openxmlformats.org/officeDocument/2006/relationships/hyperlink" Target="https://www.youtube.com/watch?v=LdrmgXtd_rs" TargetMode="External"/><Relationship Id="rId14" Type="http://schemas.openxmlformats.org/officeDocument/2006/relationships/hyperlink" Target="https://www.youtube.com/watch?v=ycnvyB8pDEM" TargetMode="External"/><Relationship Id="rId22"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8" Type="http://schemas.openxmlformats.org/officeDocument/2006/relationships/hyperlink" Target="https://www.youtube.com/watch?v=FndfcBhZklU" TargetMode="External"/><Relationship Id="rId13" Type="http://schemas.openxmlformats.org/officeDocument/2006/relationships/drawing" Target="../drawings/drawing6.xml"/><Relationship Id="rId3" Type="http://schemas.openxmlformats.org/officeDocument/2006/relationships/hyperlink" Target="https://www.youtube.com/watch?v=THua8SMPtK4" TargetMode="External"/><Relationship Id="rId7" Type="http://schemas.openxmlformats.org/officeDocument/2006/relationships/hyperlink" Target="https://www.youtube.com/watch?v=rNhQIKC2jPM" TargetMode="External"/><Relationship Id="rId12" Type="http://schemas.openxmlformats.org/officeDocument/2006/relationships/hyperlink" Target="https://www.youtube.com/watch?v=Yhp3rFuo5Cw" TargetMode="External"/><Relationship Id="rId2" Type="http://schemas.openxmlformats.org/officeDocument/2006/relationships/hyperlink" Target="https://www.youtube.com/watch?v=iS7CE9mrtI4" TargetMode="External"/><Relationship Id="rId1" Type="http://schemas.openxmlformats.org/officeDocument/2006/relationships/hyperlink" Target="https://www.youtube.com/watch?v=79r5KYH0nBI" TargetMode="External"/><Relationship Id="rId6" Type="http://schemas.openxmlformats.org/officeDocument/2006/relationships/hyperlink" Target="https://www.youtube.com/watch?v=ufZ1BZcZzKI" TargetMode="External"/><Relationship Id="rId11" Type="http://schemas.openxmlformats.org/officeDocument/2006/relationships/hyperlink" Target="https://www.youtube.com/watch?v=QEUeYDEFtsE" TargetMode="External"/><Relationship Id="rId5" Type="http://schemas.openxmlformats.org/officeDocument/2006/relationships/hyperlink" Target="https://www.youtube.com/watch?v=LXrKKz7Mld8" TargetMode="External"/><Relationship Id="rId15" Type="http://schemas.openxmlformats.org/officeDocument/2006/relationships/comments" Target="../comments6.xml"/><Relationship Id="rId10" Type="http://schemas.openxmlformats.org/officeDocument/2006/relationships/hyperlink" Target="https://www.youtube.com/watch?v=K9s433rQloA" TargetMode="External"/><Relationship Id="rId4" Type="http://schemas.openxmlformats.org/officeDocument/2006/relationships/hyperlink" Target="https://www.youtube.com/watch?v=6_9IYK6ZlyY" TargetMode="External"/><Relationship Id="rId9" Type="http://schemas.openxmlformats.org/officeDocument/2006/relationships/hyperlink" Target="https://www.youtube.com/watch?v=20u8yHim1tM" TargetMode="External"/><Relationship Id="rId14" Type="http://schemas.openxmlformats.org/officeDocument/2006/relationships/vmlDrawing" Target="../drawings/vmlDrawing6.vml"/></Relationships>
</file>

<file path=xl/worksheets/_rels/sheet13.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7.xml"/></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hyperlink" Target="https://www.youtube.com/watch?v=ZyApm_PJ-W8&amp;t=65s" TargetMode="External"/><Relationship Id="rId1" Type="http://schemas.openxmlformats.org/officeDocument/2006/relationships/hyperlink" Target="https://www.youtube.com/watch?v=9qgkONu6nbk" TargetMode="External"/><Relationship Id="rId5" Type="http://schemas.openxmlformats.org/officeDocument/2006/relationships/comments" Target="../comments8.xml"/><Relationship Id="rId4" Type="http://schemas.openxmlformats.org/officeDocument/2006/relationships/vmlDrawing" Target="../drawings/vmlDrawing8.vml"/></Relationships>
</file>

<file path=xl/worksheets/_rels/sheet15.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drawing" Target="../drawings/drawing9.xml"/></Relationships>
</file>

<file path=xl/worksheets/_rels/sheet16.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drawing" Target="../drawings/drawing10.xml"/></Relationships>
</file>

<file path=xl/worksheets/_rels/sheet17.xml.rels><?xml version="1.0" encoding="UTF-8" standalone="yes"?>
<Relationships xmlns="http://schemas.openxmlformats.org/package/2006/relationships"><Relationship Id="rId8" Type="http://schemas.openxmlformats.org/officeDocument/2006/relationships/hyperlink" Target="https://www.youtube.com/watch?v=TbQkh6axHEM" TargetMode="External"/><Relationship Id="rId13" Type="http://schemas.openxmlformats.org/officeDocument/2006/relationships/hyperlink" Target="https://www.youtube.com/watch?v=b96t52xbmO8" TargetMode="External"/><Relationship Id="rId18" Type="http://schemas.openxmlformats.org/officeDocument/2006/relationships/vmlDrawing" Target="../drawings/vmlDrawing11.vml"/><Relationship Id="rId3" Type="http://schemas.openxmlformats.org/officeDocument/2006/relationships/hyperlink" Target="https://www.youtube.com/watch?v=VFJFvcNogFU" TargetMode="External"/><Relationship Id="rId7" Type="http://schemas.openxmlformats.org/officeDocument/2006/relationships/hyperlink" Target="https://www.youtube.com/watch?v=WMf0Mau2TzE" TargetMode="External"/><Relationship Id="rId12" Type="http://schemas.openxmlformats.org/officeDocument/2006/relationships/hyperlink" Target="https://www.youtube.com/watch?v=FgVpxhtCQdA" TargetMode="External"/><Relationship Id="rId17" Type="http://schemas.openxmlformats.org/officeDocument/2006/relationships/drawing" Target="../drawings/drawing11.xml"/><Relationship Id="rId2" Type="http://schemas.openxmlformats.org/officeDocument/2006/relationships/hyperlink" Target="https://www.youtube.com/watch?v=dHQ-HMVdPyE" TargetMode="External"/><Relationship Id="rId16" Type="http://schemas.openxmlformats.org/officeDocument/2006/relationships/hyperlink" Target="https://www.youtube.com/watch?v=sy6xQyjX7qg" TargetMode="External"/><Relationship Id="rId1" Type="http://schemas.openxmlformats.org/officeDocument/2006/relationships/hyperlink" Target="https://www.youtube.com/watch?v=7bZemcM70W0" TargetMode="External"/><Relationship Id="rId6" Type="http://schemas.openxmlformats.org/officeDocument/2006/relationships/hyperlink" Target="https://www.youtube.com/watch?v=tUBrwCmKx8s" TargetMode="External"/><Relationship Id="rId11" Type="http://schemas.openxmlformats.org/officeDocument/2006/relationships/hyperlink" Target="https://www.youtube.com/watch?v=AefxKKTqv5I" TargetMode="External"/><Relationship Id="rId5" Type="http://schemas.openxmlformats.org/officeDocument/2006/relationships/hyperlink" Target="https://www.youtube.com/watch?v=-HWLO-7d98U" TargetMode="External"/><Relationship Id="rId15" Type="http://schemas.openxmlformats.org/officeDocument/2006/relationships/hyperlink" Target="https://www.youtube.com/watch?v=VFJFvcNogFU" TargetMode="External"/><Relationship Id="rId10" Type="http://schemas.openxmlformats.org/officeDocument/2006/relationships/hyperlink" Target="https://www.youtube.com/watch?v=zgOMSgegwGk" TargetMode="External"/><Relationship Id="rId19" Type="http://schemas.openxmlformats.org/officeDocument/2006/relationships/comments" Target="../comments11.xml"/><Relationship Id="rId4" Type="http://schemas.openxmlformats.org/officeDocument/2006/relationships/hyperlink" Target="https://www.youtube.com/watch?v=SNpVBfgzPmo" TargetMode="External"/><Relationship Id="rId9" Type="http://schemas.openxmlformats.org/officeDocument/2006/relationships/hyperlink" Target="https://www.youtube.com/watch?v=7bZemcM70W0" TargetMode="External"/><Relationship Id="rId14" Type="http://schemas.openxmlformats.org/officeDocument/2006/relationships/hyperlink" Target="https://www.youtube.com/watch?v=SNpVBfgzPmo" TargetMode="External"/></Relationships>
</file>

<file path=xl/worksheets/_rels/sheet18.xml.rels><?xml version="1.0" encoding="UTF-8" standalone="yes"?>
<Relationships xmlns="http://schemas.openxmlformats.org/package/2006/relationships"><Relationship Id="rId8" Type="http://schemas.openxmlformats.org/officeDocument/2006/relationships/hyperlink" Target="https://www.youtube.com/watch?v=TGgYE0Ui0co" TargetMode="External"/><Relationship Id="rId13" Type="http://schemas.openxmlformats.org/officeDocument/2006/relationships/hyperlink" Target="https://www.youtube.com/watch?v=HZ6X5Xt1nS8" TargetMode="External"/><Relationship Id="rId18" Type="http://schemas.openxmlformats.org/officeDocument/2006/relationships/hyperlink" Target="https://www.youtube.com/watch?v=w5KPpzfrQQY" TargetMode="External"/><Relationship Id="rId3" Type="http://schemas.openxmlformats.org/officeDocument/2006/relationships/hyperlink" Target="https://www.youtube.com/watch?v=dp7l5qmLHJI" TargetMode="External"/><Relationship Id="rId21" Type="http://schemas.openxmlformats.org/officeDocument/2006/relationships/drawing" Target="../drawings/drawing12.xml"/><Relationship Id="rId7" Type="http://schemas.openxmlformats.org/officeDocument/2006/relationships/hyperlink" Target="https://www.youtube.com/watch?v=JXjMYvGqqDE" TargetMode="External"/><Relationship Id="rId12" Type="http://schemas.openxmlformats.org/officeDocument/2006/relationships/hyperlink" Target="https://www.youtube.com/watch?v=mhHQNrL_bkM" TargetMode="External"/><Relationship Id="rId17" Type="http://schemas.openxmlformats.org/officeDocument/2006/relationships/hyperlink" Target="https://www.youtube.com/watch?v=srr9jTynwdo" TargetMode="External"/><Relationship Id="rId2" Type="http://schemas.openxmlformats.org/officeDocument/2006/relationships/hyperlink" Target="https://www.youtube.com/watch?v=Wpkt3HpzBTs" TargetMode="External"/><Relationship Id="rId16" Type="http://schemas.openxmlformats.org/officeDocument/2006/relationships/hyperlink" Target="https://www.youtube.com/watch?v=m9xF54UZFuY" TargetMode="External"/><Relationship Id="rId20" Type="http://schemas.openxmlformats.org/officeDocument/2006/relationships/hyperlink" Target="https://www.youtube.com/watch?v=GtSbmTRia5Y" TargetMode="External"/><Relationship Id="rId1" Type="http://schemas.openxmlformats.org/officeDocument/2006/relationships/hyperlink" Target="https://www.youtube.com/watch?v=tkF_3Ixn02I" TargetMode="External"/><Relationship Id="rId6" Type="http://schemas.openxmlformats.org/officeDocument/2006/relationships/hyperlink" Target="https://www.youtube.com/watch?v=QWaXqmcxm94" TargetMode="External"/><Relationship Id="rId11" Type="http://schemas.openxmlformats.org/officeDocument/2006/relationships/hyperlink" Target="https://www.youtube.com/watch?v=QZxRsM9xvK4" TargetMode="External"/><Relationship Id="rId5" Type="http://schemas.openxmlformats.org/officeDocument/2006/relationships/hyperlink" Target="https://www.youtube.com/watch?v=m3jwqSSyVkg" TargetMode="External"/><Relationship Id="rId15" Type="http://schemas.openxmlformats.org/officeDocument/2006/relationships/hyperlink" Target="https://www.youtube.com/watch?v=_OWY_haNDNI" TargetMode="External"/><Relationship Id="rId23" Type="http://schemas.openxmlformats.org/officeDocument/2006/relationships/comments" Target="../comments12.xml"/><Relationship Id="rId10" Type="http://schemas.openxmlformats.org/officeDocument/2006/relationships/hyperlink" Target="https://www.youtube.com/watch?v=sc4OOSLMiQQ" TargetMode="External"/><Relationship Id="rId19" Type="http://schemas.openxmlformats.org/officeDocument/2006/relationships/hyperlink" Target="https://www.youtube.com/watch?v=-HWLO-7d98U" TargetMode="External"/><Relationship Id="rId4" Type="http://schemas.openxmlformats.org/officeDocument/2006/relationships/hyperlink" Target="https://www.youtube.com/watch?v=ryQMb29oX3s" TargetMode="External"/><Relationship Id="rId9" Type="http://schemas.openxmlformats.org/officeDocument/2006/relationships/hyperlink" Target="https://www.youtube.com/watch?v=xtHzknvaS7s" TargetMode="External"/><Relationship Id="rId14" Type="http://schemas.openxmlformats.org/officeDocument/2006/relationships/hyperlink" Target="https://www.youtube.com/watch?v=X4TDNzwe3s4" TargetMode="External"/><Relationship Id="rId22"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F58DB-8E86-4079-900E-774FF19BCBC7}">
  <dimension ref="A1:P10"/>
  <sheetViews>
    <sheetView workbookViewId="0">
      <selection activeCell="P10" sqref="P10"/>
    </sheetView>
  </sheetViews>
  <sheetFormatPr defaultRowHeight="15"/>
  <cols>
    <col min="1" max="1" width="17.7109375" style="255" bestFit="1" customWidth="1"/>
    <col min="2" max="14" width="9.140625" style="255"/>
    <col min="15" max="15" width="14.5703125" style="255" bestFit="1" customWidth="1"/>
    <col min="16" max="16" width="15.28515625" style="255" bestFit="1" customWidth="1"/>
    <col min="17" max="16384" width="9.140625" style="255"/>
  </cols>
  <sheetData>
    <row r="1" spans="1:16">
      <c r="A1" s="253"/>
      <c r="B1" s="253"/>
      <c r="C1" s="253"/>
      <c r="D1" s="253"/>
      <c r="E1" s="253"/>
      <c r="F1" s="253"/>
      <c r="G1" s="253"/>
      <c r="H1" s="253"/>
      <c r="I1" s="253"/>
      <c r="J1" s="253"/>
      <c r="K1" s="253"/>
      <c r="L1" s="253"/>
      <c r="M1" s="253"/>
      <c r="N1" s="254" t="s">
        <v>2399</v>
      </c>
      <c r="O1" s="254"/>
      <c r="P1" s="254"/>
    </row>
    <row r="2" spans="1:16">
      <c r="A2" s="253"/>
      <c r="B2" s="256" t="s">
        <v>97</v>
      </c>
      <c r="C2" s="256"/>
      <c r="D2" s="256"/>
      <c r="E2" s="257" t="s">
        <v>118</v>
      </c>
      <c r="F2" s="257"/>
      <c r="G2" s="257"/>
      <c r="H2" s="256" t="s">
        <v>122</v>
      </c>
      <c r="I2" s="256"/>
      <c r="J2" s="256"/>
      <c r="K2" s="257" t="s">
        <v>2398</v>
      </c>
      <c r="L2" s="257"/>
      <c r="M2" s="257"/>
      <c r="N2" s="258" t="s">
        <v>2400</v>
      </c>
      <c r="O2" s="258" t="s">
        <v>2401</v>
      </c>
      <c r="P2" s="258" t="s">
        <v>2402</v>
      </c>
    </row>
    <row r="3" spans="1:16">
      <c r="A3" s="258" t="s">
        <v>2404</v>
      </c>
      <c r="B3" s="258" t="s">
        <v>2396</v>
      </c>
      <c r="C3" s="258" t="s">
        <v>2395</v>
      </c>
      <c r="D3" s="258" t="s">
        <v>2397</v>
      </c>
      <c r="E3" s="259" t="s">
        <v>2396</v>
      </c>
      <c r="F3" s="259" t="s">
        <v>2395</v>
      </c>
      <c r="G3" s="259" t="s">
        <v>2397</v>
      </c>
      <c r="H3" s="258" t="s">
        <v>2396</v>
      </c>
      <c r="I3" s="258" t="s">
        <v>2395</v>
      </c>
      <c r="J3" s="258" t="s">
        <v>2397</v>
      </c>
      <c r="K3" s="259" t="s">
        <v>2396</v>
      </c>
      <c r="L3" s="259" t="s">
        <v>2395</v>
      </c>
      <c r="M3" s="259" t="s">
        <v>2397</v>
      </c>
      <c r="N3" s="253"/>
      <c r="O3" s="260"/>
      <c r="P3" s="253"/>
    </row>
    <row r="4" spans="1:16">
      <c r="A4" s="253" t="s">
        <v>2181</v>
      </c>
      <c r="B4" s="253">
        <v>17</v>
      </c>
      <c r="C4" s="260">
        <v>0.10484953703703703</v>
      </c>
      <c r="D4" s="253">
        <v>32</v>
      </c>
      <c r="E4" s="261">
        <v>7</v>
      </c>
      <c r="F4" s="262">
        <v>5.0439814814814812E-2</v>
      </c>
      <c r="G4" s="261">
        <v>24</v>
      </c>
      <c r="H4" s="253"/>
      <c r="I4" s="260"/>
      <c r="J4" s="253"/>
      <c r="K4" s="261"/>
      <c r="L4" s="262"/>
      <c r="M4" s="261"/>
      <c r="N4" s="253">
        <v>24</v>
      </c>
      <c r="O4" s="260">
        <v>0.15528935185185186</v>
      </c>
      <c r="P4" s="253">
        <v>56</v>
      </c>
    </row>
    <row r="5" spans="1:16">
      <c r="A5" s="253" t="s">
        <v>2182</v>
      </c>
      <c r="B5" s="253">
        <v>1</v>
      </c>
      <c r="C5" s="260">
        <v>3.6041666666666666E-2</v>
      </c>
      <c r="D5" s="253">
        <v>7</v>
      </c>
      <c r="E5" s="261"/>
      <c r="F5" s="262"/>
      <c r="G5" s="261"/>
      <c r="H5" s="253"/>
      <c r="I5" s="260"/>
      <c r="J5" s="253"/>
      <c r="K5" s="261"/>
      <c r="L5" s="262"/>
      <c r="M5" s="261"/>
      <c r="N5" s="253">
        <v>1</v>
      </c>
      <c r="O5" s="260">
        <v>3.6041666666666666E-2</v>
      </c>
      <c r="P5" s="253">
        <v>7</v>
      </c>
    </row>
    <row r="6" spans="1:16">
      <c r="A6" s="253" t="s">
        <v>2183</v>
      </c>
      <c r="B6" s="253">
        <v>5</v>
      </c>
      <c r="C6" s="260">
        <v>0.26827546296296295</v>
      </c>
      <c r="D6" s="253">
        <v>46</v>
      </c>
      <c r="E6" s="261">
        <v>3</v>
      </c>
      <c r="F6" s="262">
        <v>4.1944444444444437E-2</v>
      </c>
      <c r="G6" s="261">
        <v>13</v>
      </c>
      <c r="H6" s="253">
        <v>1</v>
      </c>
      <c r="I6" s="260">
        <v>5.0972222222222224E-2</v>
      </c>
      <c r="J6" s="253">
        <v>12</v>
      </c>
      <c r="K6" s="261"/>
      <c r="L6" s="262"/>
      <c r="M6" s="261"/>
      <c r="N6" s="253">
        <v>9</v>
      </c>
      <c r="O6" s="260">
        <v>0.36119212962962965</v>
      </c>
      <c r="P6" s="253">
        <v>71</v>
      </c>
    </row>
    <row r="7" spans="1:16">
      <c r="A7" s="253" t="s">
        <v>2184</v>
      </c>
      <c r="B7" s="253">
        <v>1</v>
      </c>
      <c r="C7" s="260">
        <v>6.6493055555555555E-2</v>
      </c>
      <c r="D7" s="253">
        <v>10</v>
      </c>
      <c r="E7" s="261">
        <v>8</v>
      </c>
      <c r="F7" s="262">
        <v>6.1192129629629631E-2</v>
      </c>
      <c r="G7" s="261">
        <v>21</v>
      </c>
      <c r="H7" s="253">
        <v>10</v>
      </c>
      <c r="I7" s="260">
        <v>5.3298611111111109E-2</v>
      </c>
      <c r="J7" s="253">
        <v>13</v>
      </c>
      <c r="K7" s="261"/>
      <c r="L7" s="262"/>
      <c r="M7" s="261"/>
      <c r="N7" s="253">
        <v>19</v>
      </c>
      <c r="O7" s="260">
        <v>0.18098379629629627</v>
      </c>
      <c r="P7" s="253">
        <v>44</v>
      </c>
    </row>
    <row r="8" spans="1:16">
      <c r="A8" s="253" t="s">
        <v>2185</v>
      </c>
      <c r="B8" s="253">
        <v>1</v>
      </c>
      <c r="C8" s="260">
        <v>4.7199074074074067E-2</v>
      </c>
      <c r="D8" s="253">
        <v>9</v>
      </c>
      <c r="E8" s="261">
        <v>1</v>
      </c>
      <c r="F8" s="262">
        <v>8.9814814814814809E-3</v>
      </c>
      <c r="G8" s="261">
        <v>4</v>
      </c>
      <c r="H8" s="253"/>
      <c r="I8" s="260"/>
      <c r="J8" s="253"/>
      <c r="K8" s="261"/>
      <c r="L8" s="262"/>
      <c r="M8" s="261"/>
      <c r="N8" s="253">
        <v>2</v>
      </c>
      <c r="O8" s="260">
        <v>5.6180555555555546E-2</v>
      </c>
      <c r="P8" s="253">
        <v>13</v>
      </c>
    </row>
    <row r="9" spans="1:16">
      <c r="A9" s="258" t="s">
        <v>2403</v>
      </c>
      <c r="B9" s="253"/>
      <c r="C9" s="260"/>
      <c r="D9" s="253"/>
      <c r="E9" s="261"/>
      <c r="F9" s="262"/>
      <c r="G9" s="261"/>
      <c r="H9" s="253"/>
      <c r="I9" s="260"/>
      <c r="J9" s="253"/>
      <c r="K9" s="261">
        <v>702</v>
      </c>
      <c r="L9" s="262">
        <v>12.311770833333338</v>
      </c>
      <c r="M9" s="261"/>
      <c r="N9" s="253">
        <v>702</v>
      </c>
      <c r="O9" s="260">
        <v>12.311770833333338</v>
      </c>
      <c r="P9" s="253"/>
    </row>
    <row r="10" spans="1:16">
      <c r="A10" s="253" t="s">
        <v>2177</v>
      </c>
      <c r="B10" s="253">
        <v>25</v>
      </c>
      <c r="C10" s="260">
        <v>0.52285879629629628</v>
      </c>
      <c r="D10" s="253">
        <v>104</v>
      </c>
      <c r="E10" s="261">
        <v>19</v>
      </c>
      <c r="F10" s="262">
        <v>0.16255787037037037</v>
      </c>
      <c r="G10" s="261">
        <v>62</v>
      </c>
      <c r="H10" s="253">
        <v>11</v>
      </c>
      <c r="I10" s="260">
        <v>0.10427083333333334</v>
      </c>
      <c r="J10" s="253">
        <v>25</v>
      </c>
      <c r="K10" s="261">
        <v>702</v>
      </c>
      <c r="L10" s="262">
        <v>12.311770833333338</v>
      </c>
      <c r="M10" s="261"/>
      <c r="N10" s="253">
        <v>757</v>
      </c>
      <c r="O10" s="260">
        <v>13.101458333333335</v>
      </c>
      <c r="P10" s="253">
        <v>191</v>
      </c>
    </row>
  </sheetData>
  <mergeCells count="5">
    <mergeCell ref="N1:P1"/>
    <mergeCell ref="B2:D2"/>
    <mergeCell ref="E2:G2"/>
    <mergeCell ref="H2:J2"/>
    <mergeCell ref="K2:M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N1102"/>
  <sheetViews>
    <sheetView tabSelected="1" workbookViewId="0">
      <pane xSplit="1" ySplit="1" topLeftCell="P182" activePane="bottomRight" state="frozen"/>
      <selection pane="topRight" activeCell="B1" sqref="B1"/>
      <selection pane="bottomLeft" activeCell="A2" sqref="A2"/>
      <selection pane="bottomRight" activeCell="AB87" sqref="AB87"/>
    </sheetView>
  </sheetViews>
  <sheetFormatPr defaultColWidth="12.5703125" defaultRowHeight="15" customHeight="1"/>
  <cols>
    <col min="1" max="1" width="5.140625" customWidth="1"/>
    <col min="2" max="2" width="6.28515625" customWidth="1"/>
    <col min="3" max="3" width="5.42578125" customWidth="1"/>
    <col min="4" max="4" width="11.28515625" customWidth="1"/>
    <col min="5" max="5" width="3.140625" customWidth="1"/>
    <col min="6" max="6" width="24.42578125" customWidth="1"/>
    <col min="7" max="7" width="24.85546875" customWidth="1"/>
    <col min="8" max="8" width="12.42578125" customWidth="1"/>
    <col min="9" max="10" width="7.42578125" customWidth="1"/>
    <col min="11" max="11" width="6.42578125" customWidth="1"/>
    <col min="12" max="12" width="8.42578125" customWidth="1"/>
    <col min="13" max="14" width="6.42578125" customWidth="1"/>
    <col min="15" max="15" width="7.42578125" customWidth="1"/>
    <col min="16" max="16" width="9.7109375" customWidth="1"/>
    <col min="17" max="17" width="18.28515625" customWidth="1"/>
    <col min="18" max="18" width="5.7109375" customWidth="1"/>
    <col min="19" max="19" width="5.5703125" customWidth="1"/>
    <col min="20" max="20" width="6.5703125" customWidth="1"/>
    <col min="21" max="21" width="6.85546875" customWidth="1"/>
    <col min="22" max="22" width="7.7109375" customWidth="1"/>
    <col min="23" max="23" width="6.5703125" customWidth="1"/>
    <col min="24" max="24" width="7.5703125" customWidth="1"/>
    <col min="25" max="26" width="42.85546875" customWidth="1"/>
    <col min="27" max="40" width="11" customWidth="1"/>
  </cols>
  <sheetData>
    <row r="1" spans="1:40" ht="45" customHeight="1" thickBot="1">
      <c r="A1" s="216" t="s">
        <v>9</v>
      </c>
      <c r="B1" s="217" t="s">
        <v>2186</v>
      </c>
      <c r="C1" s="218" t="s">
        <v>2187</v>
      </c>
      <c r="D1" s="219" t="s">
        <v>87</v>
      </c>
      <c r="E1" s="216" t="s">
        <v>221</v>
      </c>
      <c r="F1" s="216" t="s">
        <v>223</v>
      </c>
      <c r="G1" s="216" t="s">
        <v>230</v>
      </c>
      <c r="H1" s="218" t="s">
        <v>232</v>
      </c>
      <c r="I1" s="219" t="s">
        <v>233</v>
      </c>
      <c r="J1" s="216" t="s">
        <v>234</v>
      </c>
      <c r="K1" s="214" t="s">
        <v>2390</v>
      </c>
      <c r="L1" s="216" t="s">
        <v>236</v>
      </c>
      <c r="M1" s="216" t="s">
        <v>2188</v>
      </c>
      <c r="N1" s="216" t="s">
        <v>238</v>
      </c>
      <c r="O1" s="216" t="s">
        <v>239</v>
      </c>
      <c r="P1" s="216" t="s">
        <v>240</v>
      </c>
      <c r="Q1" s="216" t="s">
        <v>241</v>
      </c>
      <c r="R1" s="220" t="s">
        <v>242</v>
      </c>
      <c r="S1" s="220" t="s">
        <v>243</v>
      </c>
      <c r="T1" s="220" t="s">
        <v>89</v>
      </c>
      <c r="U1" s="221" t="s">
        <v>244</v>
      </c>
      <c r="V1" s="222" t="s">
        <v>245</v>
      </c>
      <c r="W1" s="223" t="s">
        <v>2189</v>
      </c>
      <c r="X1" s="224" t="s">
        <v>246</v>
      </c>
      <c r="Y1" s="216" t="s">
        <v>247</v>
      </c>
      <c r="Z1" s="216" t="s">
        <v>248</v>
      </c>
      <c r="AA1" s="50"/>
      <c r="AB1" s="50"/>
      <c r="AC1" s="50"/>
      <c r="AD1" s="50"/>
      <c r="AE1" s="50"/>
      <c r="AF1" s="50"/>
      <c r="AG1" s="50"/>
      <c r="AH1" s="50"/>
      <c r="AI1" s="50"/>
      <c r="AJ1" s="50"/>
      <c r="AK1" s="50"/>
      <c r="AL1" s="50"/>
      <c r="AM1" s="50"/>
      <c r="AN1" s="50"/>
    </row>
    <row r="2" spans="1:40" ht="15.75" thickBot="1">
      <c r="A2" s="225">
        <v>1</v>
      </c>
      <c r="B2" s="216" t="s">
        <v>97</v>
      </c>
      <c r="C2" s="219"/>
      <c r="D2" s="216" t="s">
        <v>120</v>
      </c>
      <c r="E2" s="216" t="s">
        <v>249</v>
      </c>
      <c r="F2" s="226" t="s">
        <v>250</v>
      </c>
      <c r="G2" s="227" t="s">
        <v>284</v>
      </c>
      <c r="H2" s="227" t="s">
        <v>285</v>
      </c>
      <c r="I2" s="216"/>
      <c r="J2" s="225">
        <v>7000</v>
      </c>
      <c r="K2" s="228">
        <v>9.6296296296296303E-3</v>
      </c>
      <c r="L2" s="225" t="s">
        <v>251</v>
      </c>
      <c r="M2" s="219"/>
      <c r="N2" s="219"/>
      <c r="O2" s="216"/>
      <c r="P2" s="229">
        <v>42989</v>
      </c>
      <c r="Q2" s="216"/>
      <c r="R2" s="220" t="s">
        <v>94</v>
      </c>
      <c r="S2" s="220" t="s">
        <v>94</v>
      </c>
      <c r="T2" s="220" t="s">
        <v>94</v>
      </c>
      <c r="U2" s="230"/>
      <c r="V2" s="231"/>
      <c r="W2" s="232" t="s">
        <v>292</v>
      </c>
      <c r="X2" s="233"/>
      <c r="Y2" s="216"/>
      <c r="Z2" s="216"/>
    </row>
    <row r="3" spans="1:40" ht="15.75" thickBot="1">
      <c r="A3" s="225">
        <v>2</v>
      </c>
      <c r="B3" s="216" t="s">
        <v>97</v>
      </c>
      <c r="C3" s="219"/>
      <c r="D3" s="216" t="s">
        <v>120</v>
      </c>
      <c r="E3" s="216" t="s">
        <v>252</v>
      </c>
      <c r="F3" s="226" t="s">
        <v>253</v>
      </c>
      <c r="G3" s="227" t="s">
        <v>295</v>
      </c>
      <c r="H3" s="227" t="s">
        <v>296</v>
      </c>
      <c r="I3" s="216"/>
      <c r="J3" s="225">
        <v>4000</v>
      </c>
      <c r="K3" s="228">
        <v>1.0289351851851852E-2</v>
      </c>
      <c r="L3" s="225" t="s">
        <v>251</v>
      </c>
      <c r="M3" s="219"/>
      <c r="N3" s="219"/>
      <c r="O3" s="216"/>
      <c r="P3" s="229">
        <v>42989</v>
      </c>
      <c r="Q3" s="216"/>
      <c r="R3" s="220" t="s">
        <v>94</v>
      </c>
      <c r="S3" s="220" t="s">
        <v>94</v>
      </c>
      <c r="T3" s="220" t="s">
        <v>94</v>
      </c>
      <c r="U3" s="230"/>
      <c r="V3" s="231"/>
      <c r="W3" s="232" t="s">
        <v>292</v>
      </c>
      <c r="X3" s="233"/>
      <c r="Y3" s="216"/>
      <c r="Z3" s="216"/>
    </row>
    <row r="4" spans="1:40" ht="15.75" thickBot="1">
      <c r="A4" s="225">
        <v>3</v>
      </c>
      <c r="B4" s="216" t="s">
        <v>97</v>
      </c>
      <c r="C4" s="219"/>
      <c r="D4" s="216" t="s">
        <v>120</v>
      </c>
      <c r="E4" s="216" t="s">
        <v>254</v>
      </c>
      <c r="F4" s="226" t="s">
        <v>255</v>
      </c>
      <c r="G4" s="227" t="s">
        <v>299</v>
      </c>
      <c r="H4" s="227" t="s">
        <v>300</v>
      </c>
      <c r="I4" s="216"/>
      <c r="J4" s="225">
        <v>826</v>
      </c>
      <c r="K4" s="228">
        <v>2.1643518518518518E-3</v>
      </c>
      <c r="L4" s="225" t="s">
        <v>251</v>
      </c>
      <c r="M4" s="219"/>
      <c r="N4" s="219"/>
      <c r="O4" s="216"/>
      <c r="P4" s="229">
        <v>42990</v>
      </c>
      <c r="Q4" s="216"/>
      <c r="R4" s="220" t="s">
        <v>94</v>
      </c>
      <c r="S4" s="220" t="s">
        <v>94</v>
      </c>
      <c r="T4" s="220" t="s">
        <v>94</v>
      </c>
      <c r="U4" s="230"/>
      <c r="V4" s="231"/>
      <c r="W4" s="232" t="s">
        <v>292</v>
      </c>
      <c r="X4" s="233"/>
      <c r="Y4" s="216"/>
      <c r="Z4" s="216"/>
    </row>
    <row r="5" spans="1:40" ht="15.75" thickBot="1">
      <c r="A5" s="225">
        <v>4</v>
      </c>
      <c r="B5" s="216" t="s">
        <v>97</v>
      </c>
      <c r="C5" s="219"/>
      <c r="D5" s="216" t="s">
        <v>128</v>
      </c>
      <c r="E5" s="216" t="s">
        <v>256</v>
      </c>
      <c r="F5" s="226" t="s">
        <v>257</v>
      </c>
      <c r="G5" s="227" t="s">
        <v>303</v>
      </c>
      <c r="H5" s="227"/>
      <c r="I5" s="216"/>
      <c r="J5" s="225">
        <v>10000</v>
      </c>
      <c r="K5" s="228">
        <v>9.7222222222222209E-4</v>
      </c>
      <c r="L5" s="225" t="s">
        <v>251</v>
      </c>
      <c r="M5" s="219"/>
      <c r="N5" s="219"/>
      <c r="O5" s="216"/>
      <c r="P5" s="229">
        <v>42990</v>
      </c>
      <c r="Q5" s="216"/>
      <c r="R5" s="220" t="s">
        <v>94</v>
      </c>
      <c r="S5" s="220" t="s">
        <v>94</v>
      </c>
      <c r="T5" s="220" t="s">
        <v>121</v>
      </c>
      <c r="U5" s="230"/>
      <c r="V5" s="231"/>
      <c r="W5" s="232" t="s">
        <v>304</v>
      </c>
      <c r="X5" s="233"/>
      <c r="Y5" s="216"/>
      <c r="Z5" s="216"/>
    </row>
    <row r="6" spans="1:40" ht="15.75" thickBot="1">
      <c r="A6" s="225">
        <v>5</v>
      </c>
      <c r="B6" s="216" t="s">
        <v>97</v>
      </c>
      <c r="C6" s="219"/>
      <c r="D6" s="216" t="s">
        <v>128</v>
      </c>
      <c r="E6" s="216" t="s">
        <v>258</v>
      </c>
      <c r="F6" s="226" t="s">
        <v>259</v>
      </c>
      <c r="G6" s="227" t="s">
        <v>307</v>
      </c>
      <c r="H6" s="227" t="s">
        <v>307</v>
      </c>
      <c r="I6" s="216"/>
      <c r="J6" s="225">
        <v>749</v>
      </c>
      <c r="K6" s="228">
        <v>4.0509259259259258E-4</v>
      </c>
      <c r="L6" s="225" t="s">
        <v>251</v>
      </c>
      <c r="M6" s="219"/>
      <c r="N6" s="219"/>
      <c r="O6" s="216"/>
      <c r="P6" s="229">
        <v>42990</v>
      </c>
      <c r="Q6" s="216"/>
      <c r="R6" s="220" t="s">
        <v>94</v>
      </c>
      <c r="S6" s="220" t="s">
        <v>94</v>
      </c>
      <c r="T6" s="220" t="s">
        <v>121</v>
      </c>
      <c r="U6" s="230"/>
      <c r="V6" s="231"/>
      <c r="W6" s="232" t="s">
        <v>304</v>
      </c>
      <c r="X6" s="233"/>
      <c r="Y6" s="216"/>
      <c r="Z6" s="216"/>
    </row>
    <row r="7" spans="1:40" ht="15.75" thickBot="1">
      <c r="A7" s="225">
        <v>6</v>
      </c>
      <c r="B7" s="216" t="s">
        <v>97</v>
      </c>
      <c r="C7" s="219"/>
      <c r="D7" s="216" t="s">
        <v>128</v>
      </c>
      <c r="E7" s="216" t="s">
        <v>260</v>
      </c>
      <c r="F7" s="226" t="s">
        <v>261</v>
      </c>
      <c r="G7" s="234" t="s">
        <v>308</v>
      </c>
      <c r="H7" s="227"/>
      <c r="I7" s="216"/>
      <c r="J7" s="225">
        <v>1700</v>
      </c>
      <c r="K7" s="228">
        <v>3.9930555555555561E-3</v>
      </c>
      <c r="L7" s="225" t="s">
        <v>251</v>
      </c>
      <c r="M7" s="219"/>
      <c r="N7" s="219"/>
      <c r="O7" s="216"/>
      <c r="P7" s="229">
        <v>42990</v>
      </c>
      <c r="Q7" s="216"/>
      <c r="R7" s="220" t="s">
        <v>94</v>
      </c>
      <c r="S7" s="220" t="s">
        <v>94</v>
      </c>
      <c r="T7" s="220" t="s">
        <v>94</v>
      </c>
      <c r="U7" s="230"/>
      <c r="V7" s="231"/>
      <c r="W7" s="232" t="s">
        <v>304</v>
      </c>
      <c r="X7" s="233"/>
      <c r="Y7" s="216"/>
      <c r="Z7" s="216" t="s">
        <v>312</v>
      </c>
    </row>
    <row r="8" spans="1:40" ht="15.75" thickBot="1">
      <c r="A8" s="225">
        <v>7</v>
      </c>
      <c r="B8" s="216" t="s">
        <v>97</v>
      </c>
      <c r="C8" s="219"/>
      <c r="D8" s="216" t="s">
        <v>120</v>
      </c>
      <c r="E8" s="216" t="s">
        <v>262</v>
      </c>
      <c r="F8" s="226" t="s">
        <v>263</v>
      </c>
      <c r="G8" s="227" t="s">
        <v>313</v>
      </c>
      <c r="H8" s="227"/>
      <c r="I8" s="216"/>
      <c r="J8" s="225">
        <v>5100</v>
      </c>
      <c r="K8" s="228">
        <v>3.3680555555555551E-3</v>
      </c>
      <c r="L8" s="225" t="s">
        <v>251</v>
      </c>
      <c r="M8" s="219"/>
      <c r="N8" s="219"/>
      <c r="O8" s="216"/>
      <c r="P8" s="229">
        <v>42990</v>
      </c>
      <c r="Q8" s="216"/>
      <c r="R8" s="220" t="s">
        <v>94</v>
      </c>
      <c r="S8" s="220" t="s">
        <v>94</v>
      </c>
      <c r="T8" s="220" t="s">
        <v>94</v>
      </c>
      <c r="U8" s="230"/>
      <c r="V8" s="231"/>
      <c r="W8" s="232" t="s">
        <v>304</v>
      </c>
      <c r="X8" s="233"/>
      <c r="Y8" s="216"/>
      <c r="Z8" s="216"/>
    </row>
    <row r="9" spans="1:40" ht="15.75" thickBot="1">
      <c r="A9" s="225">
        <v>8</v>
      </c>
      <c r="B9" s="216" t="s">
        <v>97</v>
      </c>
      <c r="C9" s="219"/>
      <c r="D9" s="216" t="s">
        <v>120</v>
      </c>
      <c r="E9" s="216" t="s">
        <v>264</v>
      </c>
      <c r="F9" s="226" t="s">
        <v>265</v>
      </c>
      <c r="G9" s="227" t="s">
        <v>2190</v>
      </c>
      <c r="H9" s="227" t="s">
        <v>317</v>
      </c>
      <c r="I9" s="216"/>
      <c r="J9" s="225">
        <v>1900</v>
      </c>
      <c r="K9" s="228">
        <v>1.037037037037037E-2</v>
      </c>
      <c r="L9" s="225" t="s">
        <v>251</v>
      </c>
      <c r="M9" s="219"/>
      <c r="N9" s="219"/>
      <c r="O9" s="216"/>
      <c r="P9" s="229">
        <v>42990</v>
      </c>
      <c r="Q9" s="216"/>
      <c r="R9" s="220" t="s">
        <v>116</v>
      </c>
      <c r="S9" s="220" t="s">
        <v>94</v>
      </c>
      <c r="T9" s="220" t="s">
        <v>94</v>
      </c>
      <c r="U9" s="230"/>
      <c r="V9" s="231"/>
      <c r="W9" s="232" t="s">
        <v>304</v>
      </c>
      <c r="X9" s="233"/>
      <c r="Y9" s="216"/>
      <c r="Z9" s="216" t="s">
        <v>320</v>
      </c>
    </row>
    <row r="10" spans="1:40" ht="15.75" thickBot="1">
      <c r="A10" s="225">
        <v>8.01</v>
      </c>
      <c r="B10" s="216" t="s">
        <v>97</v>
      </c>
      <c r="C10" s="219"/>
      <c r="D10" s="216" t="s">
        <v>120</v>
      </c>
      <c r="E10" s="216"/>
      <c r="F10" s="235"/>
      <c r="G10" s="227" t="s">
        <v>321</v>
      </c>
      <c r="H10" s="227"/>
      <c r="I10" s="216"/>
      <c r="J10" s="216"/>
      <c r="K10" s="219"/>
      <c r="L10" s="225"/>
      <c r="M10" s="228">
        <v>2.0254629629629629E-3</v>
      </c>
      <c r="N10" s="228">
        <v>4.0393518518518521E-3</v>
      </c>
      <c r="O10" s="228">
        <v>2.0138888888888888E-3</v>
      </c>
      <c r="P10" s="229">
        <v>42990</v>
      </c>
      <c r="Q10" s="218" t="s">
        <v>2191</v>
      </c>
      <c r="R10" s="220" t="s">
        <v>94</v>
      </c>
      <c r="S10" s="220" t="s">
        <v>116</v>
      </c>
      <c r="T10" s="220" t="s">
        <v>94</v>
      </c>
      <c r="U10" s="230"/>
      <c r="V10" s="231"/>
      <c r="W10" s="232" t="s">
        <v>304</v>
      </c>
      <c r="X10" s="233"/>
      <c r="Y10" s="216"/>
      <c r="Z10" s="216" t="s">
        <v>324</v>
      </c>
    </row>
    <row r="11" spans="1:40" ht="15.75" thickBot="1">
      <c r="A11" s="225">
        <v>9</v>
      </c>
      <c r="B11" s="216" t="s">
        <v>97</v>
      </c>
      <c r="C11" s="219"/>
      <c r="D11" s="216" t="s">
        <v>120</v>
      </c>
      <c r="E11" s="216" t="s">
        <v>266</v>
      </c>
      <c r="F11" s="226" t="s">
        <v>267</v>
      </c>
      <c r="G11" s="227" t="s">
        <v>327</v>
      </c>
      <c r="H11" s="227" t="s">
        <v>2192</v>
      </c>
      <c r="I11" s="216"/>
      <c r="J11" s="225">
        <v>1700</v>
      </c>
      <c r="K11" s="228">
        <v>3.472222222222222E-3</v>
      </c>
      <c r="L11" s="225" t="s">
        <v>251</v>
      </c>
      <c r="M11" s="219"/>
      <c r="N11" s="219"/>
      <c r="O11" s="216"/>
      <c r="P11" s="229">
        <v>42990</v>
      </c>
      <c r="Q11" s="216"/>
      <c r="R11" s="220" t="s">
        <v>94</v>
      </c>
      <c r="S11" s="220" t="s">
        <v>94</v>
      </c>
      <c r="T11" s="220" t="s">
        <v>94</v>
      </c>
      <c r="U11" s="230"/>
      <c r="V11" s="231"/>
      <c r="W11" s="232" t="s">
        <v>292</v>
      </c>
      <c r="X11" s="233"/>
      <c r="Y11" s="216"/>
      <c r="Z11" s="227" t="s">
        <v>329</v>
      </c>
    </row>
    <row r="12" spans="1:40" ht="15.75" thickBot="1">
      <c r="A12" s="225">
        <v>10</v>
      </c>
      <c r="B12" s="216" t="s">
        <v>97</v>
      </c>
      <c r="C12" s="219"/>
      <c r="D12" s="216" t="s">
        <v>120</v>
      </c>
      <c r="E12" s="216" t="s">
        <v>268</v>
      </c>
      <c r="F12" s="226" t="s">
        <v>269</v>
      </c>
      <c r="G12" s="227" t="s">
        <v>330</v>
      </c>
      <c r="H12" s="227" t="s">
        <v>331</v>
      </c>
      <c r="I12" s="216"/>
      <c r="J12" s="225">
        <v>490</v>
      </c>
      <c r="K12" s="228">
        <v>3.0324074074074073E-3</v>
      </c>
      <c r="L12" s="225" t="s">
        <v>251</v>
      </c>
      <c r="M12" s="219"/>
      <c r="N12" s="219"/>
      <c r="O12" s="216"/>
      <c r="P12" s="229">
        <v>42990</v>
      </c>
      <c r="Q12" s="216"/>
      <c r="R12" s="220" t="s">
        <v>94</v>
      </c>
      <c r="S12" s="220" t="s">
        <v>94</v>
      </c>
      <c r="T12" s="220" t="s">
        <v>94</v>
      </c>
      <c r="U12" s="230"/>
      <c r="V12" s="231"/>
      <c r="W12" s="232" t="s">
        <v>292</v>
      </c>
      <c r="X12" s="233"/>
      <c r="Y12" s="216"/>
      <c r="Z12" s="216"/>
    </row>
    <row r="13" spans="1:40" ht="15.75" thickBot="1">
      <c r="A13" s="225">
        <v>10.01</v>
      </c>
      <c r="B13" s="216" t="s">
        <v>97</v>
      </c>
      <c r="C13" s="219"/>
      <c r="D13" s="216" t="s">
        <v>120</v>
      </c>
      <c r="E13" s="216"/>
      <c r="F13" s="235"/>
      <c r="G13" s="227" t="s">
        <v>334</v>
      </c>
      <c r="H13" s="227"/>
      <c r="I13" s="216"/>
      <c r="J13" s="216"/>
      <c r="K13" s="219"/>
      <c r="L13" s="225"/>
      <c r="M13" s="228">
        <v>1.0300925925925926E-3</v>
      </c>
      <c r="N13" s="228">
        <v>1.4467592592592594E-3</v>
      </c>
      <c r="O13" s="228">
        <v>4.1666666666666669E-4</v>
      </c>
      <c r="P13" s="229">
        <v>42990</v>
      </c>
      <c r="Q13" s="218" t="s">
        <v>2193</v>
      </c>
      <c r="R13" s="220" t="s">
        <v>94</v>
      </c>
      <c r="S13" s="220" t="s">
        <v>94</v>
      </c>
      <c r="T13" s="220" t="s">
        <v>94</v>
      </c>
      <c r="U13" s="230"/>
      <c r="V13" s="231"/>
      <c r="W13" s="232" t="s">
        <v>292</v>
      </c>
      <c r="X13" s="233"/>
      <c r="Y13" s="216"/>
      <c r="Z13" s="216"/>
    </row>
    <row r="14" spans="1:40" ht="15.75" thickBot="1">
      <c r="A14" s="225">
        <v>11</v>
      </c>
      <c r="B14" s="216" t="s">
        <v>97</v>
      </c>
      <c r="C14" s="219"/>
      <c r="D14" s="216" t="s">
        <v>120</v>
      </c>
      <c r="E14" s="216" t="s">
        <v>270</v>
      </c>
      <c r="F14" s="226" t="s">
        <v>271</v>
      </c>
      <c r="G14" s="227" t="s">
        <v>337</v>
      </c>
      <c r="H14" s="227" t="s">
        <v>338</v>
      </c>
      <c r="I14" s="216"/>
      <c r="J14" s="225">
        <v>551</v>
      </c>
      <c r="K14" s="228">
        <v>2.4189814814814816E-3</v>
      </c>
      <c r="L14" s="225" t="s">
        <v>251</v>
      </c>
      <c r="M14" s="219"/>
      <c r="N14" s="219"/>
      <c r="O14" s="216"/>
      <c r="P14" s="229">
        <v>42991</v>
      </c>
      <c r="Q14" s="216"/>
      <c r="R14" s="220" t="s">
        <v>94</v>
      </c>
      <c r="S14" s="220" t="s">
        <v>94</v>
      </c>
      <c r="T14" s="220" t="s">
        <v>94</v>
      </c>
      <c r="U14" s="230"/>
      <c r="V14" s="231"/>
      <c r="W14" s="232" t="s">
        <v>304</v>
      </c>
      <c r="X14" s="233"/>
      <c r="Y14" s="216"/>
      <c r="Z14" s="216" t="s">
        <v>312</v>
      </c>
    </row>
    <row r="15" spans="1:40" ht="15.75" thickBot="1">
      <c r="A15" s="225">
        <v>12</v>
      </c>
      <c r="B15" s="216" t="s">
        <v>97</v>
      </c>
      <c r="C15" s="219"/>
      <c r="D15" s="216" t="s">
        <v>120</v>
      </c>
      <c r="E15" s="216" t="s">
        <v>272</v>
      </c>
      <c r="F15" s="226" t="s">
        <v>273</v>
      </c>
      <c r="G15" s="227" t="s">
        <v>342</v>
      </c>
      <c r="H15" s="227" t="s">
        <v>343</v>
      </c>
      <c r="I15" s="227"/>
      <c r="J15" s="236">
        <v>384</v>
      </c>
      <c r="K15" s="228">
        <v>2.2222222222222222E-3</v>
      </c>
      <c r="L15" s="225" t="s">
        <v>251</v>
      </c>
      <c r="M15" s="219"/>
      <c r="N15" s="219"/>
      <c r="O15" s="216"/>
      <c r="P15" s="229">
        <v>42991</v>
      </c>
      <c r="Q15" s="216"/>
      <c r="R15" s="220" t="s">
        <v>94</v>
      </c>
      <c r="S15" s="220" t="s">
        <v>94</v>
      </c>
      <c r="T15" s="220" t="s">
        <v>94</v>
      </c>
      <c r="U15" s="230"/>
      <c r="V15" s="231"/>
      <c r="W15" s="232" t="s">
        <v>304</v>
      </c>
      <c r="X15" s="233"/>
      <c r="Y15" s="216"/>
      <c r="Z15" s="216" t="s">
        <v>312</v>
      </c>
    </row>
    <row r="16" spans="1:40" ht="15.75" thickBot="1">
      <c r="A16" s="225">
        <v>13</v>
      </c>
      <c r="B16" s="216" t="s">
        <v>97</v>
      </c>
      <c r="C16" s="219"/>
      <c r="D16" s="216" t="s">
        <v>120</v>
      </c>
      <c r="E16" s="216" t="s">
        <v>274</v>
      </c>
      <c r="F16" s="226" t="s">
        <v>275</v>
      </c>
      <c r="G16" s="216" t="s">
        <v>344</v>
      </c>
      <c r="H16" s="227" t="s">
        <v>345</v>
      </c>
      <c r="I16" s="216"/>
      <c r="J16" s="225">
        <v>1500</v>
      </c>
      <c r="K16" s="228">
        <v>3.530092592592592E-3</v>
      </c>
      <c r="L16" s="225" t="s">
        <v>251</v>
      </c>
      <c r="M16" s="219"/>
      <c r="N16" s="219"/>
      <c r="O16" s="216"/>
      <c r="P16" s="229">
        <v>42991</v>
      </c>
      <c r="Q16" s="216"/>
      <c r="R16" s="220" t="s">
        <v>94</v>
      </c>
      <c r="S16" s="220" t="s">
        <v>94</v>
      </c>
      <c r="T16" s="220" t="s">
        <v>94</v>
      </c>
      <c r="U16" s="230"/>
      <c r="V16" s="231"/>
      <c r="W16" s="232" t="s">
        <v>304</v>
      </c>
      <c r="X16" s="233"/>
      <c r="Y16" s="216"/>
      <c r="Z16" s="216" t="s">
        <v>312</v>
      </c>
    </row>
    <row r="17" spans="1:40" ht="15.75" thickBot="1">
      <c r="A17" s="225">
        <v>14</v>
      </c>
      <c r="B17" s="216" t="s">
        <v>97</v>
      </c>
      <c r="C17" s="219"/>
      <c r="D17" s="216" t="s">
        <v>120</v>
      </c>
      <c r="E17" s="216" t="s">
        <v>276</v>
      </c>
      <c r="F17" s="226" t="s">
        <v>277</v>
      </c>
      <c r="G17" s="227" t="s">
        <v>348</v>
      </c>
      <c r="H17" s="227"/>
      <c r="I17" s="216"/>
      <c r="J17" s="225">
        <v>595</v>
      </c>
      <c r="K17" s="228">
        <v>4.0740740740740746E-3</v>
      </c>
      <c r="L17" s="225" t="s">
        <v>251</v>
      </c>
      <c r="M17" s="219"/>
      <c r="N17" s="219"/>
      <c r="O17" s="216"/>
      <c r="P17" s="229">
        <v>42991</v>
      </c>
      <c r="Q17" s="216"/>
      <c r="R17" s="220" t="s">
        <v>94</v>
      </c>
      <c r="S17" s="220" t="s">
        <v>94</v>
      </c>
      <c r="T17" s="220" t="s">
        <v>94</v>
      </c>
      <c r="U17" s="230"/>
      <c r="V17" s="231"/>
      <c r="W17" s="232" t="s">
        <v>304</v>
      </c>
      <c r="X17" s="233"/>
      <c r="Y17" s="216"/>
      <c r="Z17" s="216" t="s">
        <v>312</v>
      </c>
    </row>
    <row r="18" spans="1:40" ht="15.75" thickBot="1">
      <c r="A18" s="225">
        <v>15</v>
      </c>
      <c r="B18" s="216" t="s">
        <v>97</v>
      </c>
      <c r="C18" s="219"/>
      <c r="D18" s="216" t="s">
        <v>120</v>
      </c>
      <c r="E18" s="216" t="s">
        <v>278</v>
      </c>
      <c r="F18" s="226" t="s">
        <v>279</v>
      </c>
      <c r="G18" s="227" t="s">
        <v>2194</v>
      </c>
      <c r="H18" s="227"/>
      <c r="I18" s="216"/>
      <c r="J18" s="225">
        <v>477</v>
      </c>
      <c r="K18" s="228">
        <v>2.673611111111111E-3</v>
      </c>
      <c r="L18" s="225" t="s">
        <v>251</v>
      </c>
      <c r="M18" s="219"/>
      <c r="N18" s="219"/>
      <c r="O18" s="216"/>
      <c r="P18" s="229">
        <v>42991</v>
      </c>
      <c r="Q18" s="216"/>
      <c r="R18" s="220" t="s">
        <v>94</v>
      </c>
      <c r="S18" s="220" t="s">
        <v>94</v>
      </c>
      <c r="T18" s="220" t="s">
        <v>94</v>
      </c>
      <c r="U18" s="230"/>
      <c r="V18" s="231"/>
      <c r="W18" s="232" t="s">
        <v>304</v>
      </c>
      <c r="X18" s="233"/>
      <c r="Y18" s="216"/>
      <c r="Z18" s="216"/>
    </row>
    <row r="19" spans="1:40" ht="15.75" thickBot="1">
      <c r="A19" s="225">
        <v>16</v>
      </c>
      <c r="B19" s="216" t="s">
        <v>97</v>
      </c>
      <c r="C19" s="219"/>
      <c r="D19" s="216" t="s">
        <v>120</v>
      </c>
      <c r="E19" s="216" t="s">
        <v>280</v>
      </c>
      <c r="F19" s="226" t="s">
        <v>281</v>
      </c>
      <c r="G19" s="227" t="s">
        <v>353</v>
      </c>
      <c r="H19" s="227" t="s">
        <v>354</v>
      </c>
      <c r="I19" s="216"/>
      <c r="J19" s="225">
        <v>506</v>
      </c>
      <c r="K19" s="228">
        <v>5.7175925925925927E-3</v>
      </c>
      <c r="L19" s="225" t="s">
        <v>251</v>
      </c>
      <c r="M19" s="219"/>
      <c r="N19" s="219"/>
      <c r="O19" s="216"/>
      <c r="P19" s="229">
        <v>42991</v>
      </c>
      <c r="Q19" s="216"/>
      <c r="R19" s="220" t="s">
        <v>94</v>
      </c>
      <c r="S19" s="220" t="s">
        <v>94</v>
      </c>
      <c r="T19" s="220" t="s">
        <v>94</v>
      </c>
      <c r="U19" s="230"/>
      <c r="V19" s="231"/>
      <c r="W19" s="232" t="s">
        <v>304</v>
      </c>
      <c r="X19" s="233"/>
      <c r="Y19" s="216"/>
      <c r="Z19" s="216" t="s">
        <v>357</v>
      </c>
    </row>
    <row r="20" spans="1:40" ht="15.75" thickBot="1">
      <c r="A20" s="225">
        <v>17</v>
      </c>
      <c r="B20" s="216"/>
      <c r="C20" s="219"/>
      <c r="D20" s="216"/>
      <c r="E20" s="216" t="s">
        <v>282</v>
      </c>
      <c r="F20" s="226" t="s">
        <v>283</v>
      </c>
      <c r="G20" s="227"/>
      <c r="H20" s="227"/>
      <c r="I20" s="216"/>
      <c r="J20" s="225">
        <v>343</v>
      </c>
      <c r="K20" s="228">
        <v>2.7430555555555559E-3</v>
      </c>
      <c r="L20" s="225" t="s">
        <v>251</v>
      </c>
      <c r="M20" s="219"/>
      <c r="N20" s="219"/>
      <c r="O20" s="216"/>
      <c r="P20" s="216"/>
      <c r="Q20" s="216"/>
      <c r="R20" s="220"/>
      <c r="S20" s="220"/>
      <c r="T20" s="220"/>
      <c r="U20" s="230"/>
      <c r="V20" s="231"/>
      <c r="W20" s="232"/>
      <c r="X20" s="233"/>
      <c r="Y20" s="216"/>
      <c r="Z20" s="216"/>
    </row>
    <row r="21" spans="1:40" ht="15.75" thickBot="1">
      <c r="A21" s="225">
        <v>18</v>
      </c>
      <c r="B21" s="216"/>
      <c r="C21" s="219"/>
      <c r="D21" s="216"/>
      <c r="E21" s="216" t="s">
        <v>286</v>
      </c>
      <c r="F21" s="226" t="s">
        <v>287</v>
      </c>
      <c r="G21" s="227"/>
      <c r="H21" s="227"/>
      <c r="I21" s="216"/>
      <c r="J21" s="225">
        <v>1000</v>
      </c>
      <c r="K21" s="228">
        <v>2.4652777777777776E-3</v>
      </c>
      <c r="L21" s="225" t="s">
        <v>251</v>
      </c>
      <c r="M21" s="219"/>
      <c r="N21" s="219"/>
      <c r="O21" s="216"/>
      <c r="P21" s="216"/>
      <c r="Q21" s="216"/>
      <c r="R21" s="220"/>
      <c r="S21" s="220"/>
      <c r="T21" s="220"/>
      <c r="U21" s="230"/>
      <c r="V21" s="231"/>
      <c r="W21" s="232"/>
      <c r="X21" s="233"/>
      <c r="Y21" s="216"/>
      <c r="Z21" s="216"/>
    </row>
    <row r="22" spans="1:40" ht="15.75" thickBot="1">
      <c r="A22" s="225">
        <v>19</v>
      </c>
      <c r="B22" s="216"/>
      <c r="C22" s="216"/>
      <c r="D22" s="216"/>
      <c r="E22" s="216" t="s">
        <v>288</v>
      </c>
      <c r="F22" s="226" t="s">
        <v>289</v>
      </c>
      <c r="G22" s="227"/>
      <c r="H22" s="227"/>
      <c r="I22" s="216"/>
      <c r="J22" s="225">
        <v>378</v>
      </c>
      <c r="K22" s="228">
        <v>1.1226851851851851E-3</v>
      </c>
      <c r="L22" s="225" t="s">
        <v>251</v>
      </c>
      <c r="M22" s="219"/>
      <c r="N22" s="219"/>
      <c r="O22" s="216"/>
      <c r="P22" s="216"/>
      <c r="Q22" s="216"/>
      <c r="R22" s="220"/>
      <c r="S22" s="220"/>
      <c r="T22" s="220"/>
      <c r="U22" s="230"/>
      <c r="V22" s="231"/>
      <c r="W22" s="232"/>
      <c r="X22" s="233"/>
      <c r="Y22" s="216"/>
      <c r="Z22" s="216"/>
    </row>
    <row r="23" spans="1:40" ht="15.75" thickBot="1">
      <c r="A23" s="225">
        <v>20</v>
      </c>
      <c r="B23" s="216" t="s">
        <v>118</v>
      </c>
      <c r="C23" s="219"/>
      <c r="D23" s="216" t="s">
        <v>120</v>
      </c>
      <c r="E23" s="216" t="s">
        <v>290</v>
      </c>
      <c r="F23" s="226" t="s">
        <v>291</v>
      </c>
      <c r="G23" s="227"/>
      <c r="H23" s="227"/>
      <c r="I23" s="216"/>
      <c r="J23" s="225">
        <v>8500</v>
      </c>
      <c r="K23" s="228">
        <v>7.1874999999999994E-3</v>
      </c>
      <c r="L23" s="225" t="s">
        <v>251</v>
      </c>
      <c r="M23" s="219"/>
      <c r="N23" s="219"/>
      <c r="O23" s="216"/>
      <c r="P23" s="229">
        <v>42990</v>
      </c>
      <c r="Q23" s="216"/>
      <c r="R23" s="220"/>
      <c r="S23" s="220"/>
      <c r="T23" s="220"/>
      <c r="U23" s="230"/>
      <c r="V23" s="231"/>
      <c r="W23" s="232"/>
      <c r="X23" s="233"/>
      <c r="Y23" s="216"/>
      <c r="Z23" s="216"/>
      <c r="AA23" s="82"/>
      <c r="AB23" s="82"/>
      <c r="AC23" s="82"/>
      <c r="AD23" s="82"/>
      <c r="AE23" s="82"/>
      <c r="AF23" s="82"/>
      <c r="AG23" s="82"/>
      <c r="AH23" s="82"/>
      <c r="AI23" s="82"/>
      <c r="AJ23" s="82"/>
      <c r="AK23" s="82"/>
      <c r="AL23" s="82"/>
      <c r="AM23" s="82"/>
      <c r="AN23" s="82"/>
    </row>
    <row r="24" spans="1:40" ht="15.75" thickBot="1">
      <c r="A24" s="225">
        <v>20.010000000000002</v>
      </c>
      <c r="B24" s="216" t="s">
        <v>118</v>
      </c>
      <c r="C24" s="219"/>
      <c r="D24" s="216" t="s">
        <v>120</v>
      </c>
      <c r="E24" s="216"/>
      <c r="F24" s="235"/>
      <c r="G24" s="227" t="s">
        <v>368</v>
      </c>
      <c r="H24" s="227" t="s">
        <v>369</v>
      </c>
      <c r="I24" s="216"/>
      <c r="J24" s="216"/>
      <c r="K24" s="219"/>
      <c r="L24" s="225"/>
      <c r="M24" s="228">
        <v>5.7870370370370378E-4</v>
      </c>
      <c r="N24" s="228">
        <v>3.2407407407407406E-3</v>
      </c>
      <c r="O24" s="228">
        <v>2.6620370370370374E-3</v>
      </c>
      <c r="P24" s="229">
        <v>42990</v>
      </c>
      <c r="Q24" s="218" t="s">
        <v>2195</v>
      </c>
      <c r="R24" s="220" t="s">
        <v>94</v>
      </c>
      <c r="S24" s="220" t="s">
        <v>117</v>
      </c>
      <c r="T24" s="220" t="s">
        <v>94</v>
      </c>
      <c r="U24" s="230"/>
      <c r="V24" s="231"/>
      <c r="W24" s="232"/>
      <c r="X24" s="233"/>
      <c r="Y24" s="216"/>
      <c r="Z24" s="216"/>
      <c r="AA24" s="82"/>
      <c r="AB24" s="82"/>
      <c r="AC24" s="82"/>
      <c r="AD24" s="82"/>
      <c r="AE24" s="82"/>
      <c r="AF24" s="82"/>
      <c r="AG24" s="82"/>
      <c r="AH24" s="82"/>
      <c r="AI24" s="82"/>
      <c r="AJ24" s="82"/>
      <c r="AK24" s="82"/>
      <c r="AL24" s="82"/>
      <c r="AM24" s="82"/>
      <c r="AN24" s="82"/>
    </row>
    <row r="25" spans="1:40" ht="15.75" thickBot="1">
      <c r="A25" s="225">
        <v>20.02</v>
      </c>
      <c r="B25" s="216" t="s">
        <v>118</v>
      </c>
      <c r="C25" s="219"/>
      <c r="D25" s="216" t="s">
        <v>120</v>
      </c>
      <c r="E25" s="216"/>
      <c r="F25" s="235"/>
      <c r="G25" s="227" t="s">
        <v>370</v>
      </c>
      <c r="H25" s="227" t="s">
        <v>372</v>
      </c>
      <c r="I25" s="216"/>
      <c r="J25" s="216"/>
      <c r="K25" s="219"/>
      <c r="L25" s="225"/>
      <c r="M25" s="228">
        <v>3.2407407407407406E-3</v>
      </c>
      <c r="N25" s="228">
        <v>5.7754629629629623E-3</v>
      </c>
      <c r="O25" s="228">
        <v>2.5347222222222221E-3</v>
      </c>
      <c r="P25" s="229">
        <v>42990</v>
      </c>
      <c r="Q25" s="218" t="s">
        <v>2196</v>
      </c>
      <c r="R25" s="220" t="s">
        <v>94</v>
      </c>
      <c r="S25" s="220" t="s">
        <v>117</v>
      </c>
      <c r="T25" s="220" t="s">
        <v>94</v>
      </c>
      <c r="U25" s="230"/>
      <c r="V25" s="231"/>
      <c r="W25" s="232"/>
      <c r="X25" s="233"/>
      <c r="Y25" s="216"/>
      <c r="Z25" s="216"/>
      <c r="AA25" s="82"/>
      <c r="AB25" s="82"/>
      <c r="AC25" s="82"/>
      <c r="AD25" s="82"/>
      <c r="AE25" s="82"/>
      <c r="AF25" s="82"/>
      <c r="AG25" s="82"/>
      <c r="AH25" s="82"/>
      <c r="AI25" s="82"/>
      <c r="AJ25" s="82"/>
      <c r="AK25" s="82"/>
      <c r="AL25" s="82"/>
      <c r="AM25" s="82"/>
      <c r="AN25" s="82"/>
    </row>
    <row r="26" spans="1:40" ht="15.75" thickBot="1">
      <c r="A26" s="225">
        <v>20.03</v>
      </c>
      <c r="B26" s="216" t="s">
        <v>118</v>
      </c>
      <c r="C26" s="219"/>
      <c r="D26" s="216" t="s">
        <v>120</v>
      </c>
      <c r="E26" s="216"/>
      <c r="F26" s="235"/>
      <c r="G26" s="227" t="s">
        <v>374</v>
      </c>
      <c r="H26" s="227" t="s">
        <v>376</v>
      </c>
      <c r="I26" s="216"/>
      <c r="J26" s="216"/>
      <c r="K26" s="219"/>
      <c r="L26" s="225"/>
      <c r="M26" s="228">
        <v>5.7754629629629623E-3</v>
      </c>
      <c r="N26" s="228">
        <v>7.1759259259259259E-3</v>
      </c>
      <c r="O26" s="228">
        <v>1.4004629629629629E-3</v>
      </c>
      <c r="P26" s="229">
        <v>42990</v>
      </c>
      <c r="Q26" s="218" t="s">
        <v>2197</v>
      </c>
      <c r="R26" s="220" t="s">
        <v>94</v>
      </c>
      <c r="S26" s="220" t="s">
        <v>117</v>
      </c>
      <c r="T26" s="220" t="s">
        <v>94</v>
      </c>
      <c r="U26" s="230"/>
      <c r="V26" s="231"/>
      <c r="W26" s="232"/>
      <c r="X26" s="233"/>
      <c r="Y26" s="216"/>
      <c r="Z26" s="216"/>
      <c r="AA26" s="82"/>
      <c r="AB26" s="82"/>
      <c r="AC26" s="82"/>
      <c r="AD26" s="82"/>
      <c r="AE26" s="82"/>
      <c r="AF26" s="82"/>
      <c r="AG26" s="82"/>
      <c r="AH26" s="82"/>
      <c r="AI26" s="82"/>
      <c r="AJ26" s="82"/>
      <c r="AK26" s="82"/>
      <c r="AL26" s="82"/>
      <c r="AM26" s="82"/>
      <c r="AN26" s="82"/>
    </row>
    <row r="27" spans="1:40" ht="15.75" thickBot="1">
      <c r="A27" s="225">
        <v>21</v>
      </c>
      <c r="B27" s="216"/>
      <c r="C27" s="219"/>
      <c r="D27" s="216"/>
      <c r="E27" s="216" t="s">
        <v>293</v>
      </c>
      <c r="F27" s="226" t="s">
        <v>294</v>
      </c>
      <c r="G27" s="227"/>
      <c r="H27" s="227"/>
      <c r="I27" s="216"/>
      <c r="J27" s="225">
        <v>3200</v>
      </c>
      <c r="K27" s="228">
        <v>1.3078703703703705E-3</v>
      </c>
      <c r="L27" s="225" t="s">
        <v>251</v>
      </c>
      <c r="M27" s="219"/>
      <c r="N27" s="219"/>
      <c r="O27" s="216"/>
      <c r="P27" s="216"/>
      <c r="Q27" s="216"/>
      <c r="R27" s="220"/>
      <c r="S27" s="220"/>
      <c r="T27" s="220"/>
      <c r="U27" s="230"/>
      <c r="V27" s="231"/>
      <c r="W27" s="232"/>
      <c r="X27" s="233"/>
      <c r="Y27" s="216"/>
      <c r="Z27" s="216"/>
    </row>
    <row r="28" spans="1:40" ht="15.75" thickBot="1">
      <c r="A28" s="225">
        <v>22</v>
      </c>
      <c r="B28" s="216" t="s">
        <v>118</v>
      </c>
      <c r="C28" s="219"/>
      <c r="D28" s="216" t="s">
        <v>120</v>
      </c>
      <c r="E28" s="216" t="s">
        <v>297</v>
      </c>
      <c r="F28" s="226" t="s">
        <v>298</v>
      </c>
      <c r="G28" s="227"/>
      <c r="H28" s="227"/>
      <c r="I28" s="216"/>
      <c r="J28" s="225">
        <v>4900</v>
      </c>
      <c r="K28" s="228">
        <v>9.2939814814814812E-3</v>
      </c>
      <c r="L28" s="225" t="s">
        <v>251</v>
      </c>
      <c r="M28" s="219"/>
      <c r="N28" s="219"/>
      <c r="O28" s="216"/>
      <c r="P28" s="229">
        <v>42990</v>
      </c>
      <c r="Q28" s="216"/>
      <c r="R28" s="220"/>
      <c r="S28" s="220"/>
      <c r="T28" s="220"/>
      <c r="U28" s="230"/>
      <c r="V28" s="231"/>
      <c r="W28" s="232"/>
      <c r="X28" s="233"/>
      <c r="Y28" s="216"/>
      <c r="Z28" s="216"/>
      <c r="AA28" s="82"/>
      <c r="AB28" s="82"/>
      <c r="AC28" s="82"/>
      <c r="AD28" s="82"/>
      <c r="AE28" s="82"/>
      <c r="AF28" s="82"/>
      <c r="AG28" s="82"/>
      <c r="AH28" s="82"/>
      <c r="AI28" s="82"/>
      <c r="AJ28" s="82"/>
      <c r="AK28" s="82"/>
      <c r="AL28" s="82"/>
      <c r="AM28" s="82"/>
      <c r="AN28" s="82"/>
    </row>
    <row r="29" spans="1:40" ht="15.75" thickBot="1">
      <c r="A29" s="225">
        <v>22.01</v>
      </c>
      <c r="B29" s="216" t="s">
        <v>118</v>
      </c>
      <c r="C29" s="219"/>
      <c r="D29" s="216" t="s">
        <v>120</v>
      </c>
      <c r="E29" s="216"/>
      <c r="F29" s="235"/>
      <c r="G29" s="227" t="s">
        <v>390</v>
      </c>
      <c r="H29" s="227" t="s">
        <v>391</v>
      </c>
      <c r="I29" s="216"/>
      <c r="J29" s="216"/>
      <c r="K29" s="219"/>
      <c r="L29" s="225"/>
      <c r="M29" s="228">
        <v>0</v>
      </c>
      <c r="N29" s="228">
        <v>1.1805555555555556E-3</v>
      </c>
      <c r="O29" s="228">
        <v>1.1805555555555556E-3</v>
      </c>
      <c r="P29" s="229">
        <v>42990</v>
      </c>
      <c r="Q29" s="218" t="s">
        <v>2198</v>
      </c>
      <c r="R29" s="220" t="s">
        <v>94</v>
      </c>
      <c r="S29" s="220" t="s">
        <v>117</v>
      </c>
      <c r="T29" s="220" t="s">
        <v>94</v>
      </c>
      <c r="U29" s="230"/>
      <c r="V29" s="231"/>
      <c r="W29" s="232"/>
      <c r="X29" s="233"/>
      <c r="Y29" s="216"/>
      <c r="Z29" s="216"/>
      <c r="AA29" s="82"/>
      <c r="AB29" s="82"/>
      <c r="AC29" s="82"/>
      <c r="AD29" s="82"/>
      <c r="AE29" s="82"/>
      <c r="AF29" s="82"/>
      <c r="AG29" s="82"/>
      <c r="AH29" s="82"/>
      <c r="AI29" s="82"/>
      <c r="AJ29" s="82"/>
      <c r="AK29" s="82"/>
      <c r="AL29" s="82"/>
      <c r="AM29" s="82"/>
      <c r="AN29" s="82"/>
    </row>
    <row r="30" spans="1:40" ht="15.75" thickBot="1">
      <c r="A30" s="225">
        <v>22.02</v>
      </c>
      <c r="B30" s="216" t="s">
        <v>118</v>
      </c>
      <c r="C30" s="219"/>
      <c r="D30" s="216" t="s">
        <v>120</v>
      </c>
      <c r="E30" s="216"/>
      <c r="F30" s="235"/>
      <c r="G30" s="227" t="s">
        <v>400</v>
      </c>
      <c r="H30" s="227" t="s">
        <v>401</v>
      </c>
      <c r="I30" s="216"/>
      <c r="J30" s="216"/>
      <c r="K30" s="219"/>
      <c r="L30" s="225"/>
      <c r="M30" s="228">
        <v>1.1805555555555556E-3</v>
      </c>
      <c r="N30" s="228">
        <v>3.1018518518518522E-3</v>
      </c>
      <c r="O30" s="228">
        <v>1.9212962962962962E-3</v>
      </c>
      <c r="P30" s="229">
        <v>42990</v>
      </c>
      <c r="Q30" s="218" t="s">
        <v>2199</v>
      </c>
      <c r="R30" s="220" t="s">
        <v>94</v>
      </c>
      <c r="S30" s="220" t="s">
        <v>117</v>
      </c>
      <c r="T30" s="220" t="s">
        <v>94</v>
      </c>
      <c r="U30" s="230"/>
      <c r="V30" s="231"/>
      <c r="W30" s="232"/>
      <c r="X30" s="233"/>
      <c r="Y30" s="216"/>
      <c r="Z30" s="216"/>
      <c r="AA30" s="82"/>
      <c r="AB30" s="82"/>
      <c r="AC30" s="82"/>
      <c r="AD30" s="82"/>
      <c r="AE30" s="82"/>
      <c r="AF30" s="82"/>
      <c r="AG30" s="82"/>
      <c r="AH30" s="82"/>
      <c r="AI30" s="82"/>
      <c r="AJ30" s="82"/>
      <c r="AK30" s="82"/>
      <c r="AL30" s="82"/>
      <c r="AM30" s="82"/>
      <c r="AN30" s="82"/>
    </row>
    <row r="31" spans="1:40" ht="15.75" thickBot="1">
      <c r="A31" s="225">
        <v>22.03</v>
      </c>
      <c r="B31" s="216" t="s">
        <v>118</v>
      </c>
      <c r="C31" s="216"/>
      <c r="D31" s="216" t="s">
        <v>120</v>
      </c>
      <c r="E31" s="216"/>
      <c r="F31" s="235"/>
      <c r="G31" s="227" t="s">
        <v>406</v>
      </c>
      <c r="H31" s="227" t="s">
        <v>407</v>
      </c>
      <c r="I31" s="216"/>
      <c r="J31" s="216"/>
      <c r="K31" s="219"/>
      <c r="L31" s="225"/>
      <c r="M31" s="228">
        <v>3.1018518518518522E-3</v>
      </c>
      <c r="N31" s="228">
        <v>4.6412037037037038E-3</v>
      </c>
      <c r="O31" s="228">
        <v>1.5393518518518519E-3</v>
      </c>
      <c r="P31" s="229">
        <v>42990</v>
      </c>
      <c r="Q31" s="218" t="s">
        <v>2200</v>
      </c>
      <c r="R31" s="220" t="s">
        <v>94</v>
      </c>
      <c r="S31" s="220" t="s">
        <v>117</v>
      </c>
      <c r="T31" s="220" t="s">
        <v>94</v>
      </c>
      <c r="U31" s="230"/>
      <c r="V31" s="231"/>
      <c r="W31" s="232"/>
      <c r="X31" s="237"/>
      <c r="Y31" s="234"/>
      <c r="Z31" s="234" t="s">
        <v>414</v>
      </c>
      <c r="AA31" s="82"/>
      <c r="AB31" s="82"/>
      <c r="AC31" s="82"/>
      <c r="AD31" s="82"/>
      <c r="AE31" s="82"/>
      <c r="AF31" s="82"/>
      <c r="AG31" s="82"/>
      <c r="AH31" s="82"/>
      <c r="AI31" s="82"/>
      <c r="AJ31" s="82"/>
      <c r="AK31" s="82"/>
      <c r="AL31" s="82"/>
      <c r="AM31" s="82"/>
      <c r="AN31" s="82"/>
    </row>
    <row r="32" spans="1:40" ht="15.75" thickBot="1">
      <c r="A32" s="225">
        <v>22.04</v>
      </c>
      <c r="B32" s="216" t="s">
        <v>118</v>
      </c>
      <c r="C32" s="216"/>
      <c r="D32" s="216" t="s">
        <v>120</v>
      </c>
      <c r="E32" s="216"/>
      <c r="F32" s="235"/>
      <c r="G32" s="227" t="s">
        <v>416</v>
      </c>
      <c r="H32" s="227" t="s">
        <v>417</v>
      </c>
      <c r="I32" s="216"/>
      <c r="J32" s="216"/>
      <c r="K32" s="219"/>
      <c r="L32" s="225"/>
      <c r="M32" s="228">
        <v>4.6412037037037038E-3</v>
      </c>
      <c r="N32" s="228">
        <v>7.2106481481481475E-3</v>
      </c>
      <c r="O32" s="228">
        <v>2.5694444444444445E-3</v>
      </c>
      <c r="P32" s="229">
        <v>42990</v>
      </c>
      <c r="Q32" s="218" t="s">
        <v>2201</v>
      </c>
      <c r="R32" s="220" t="s">
        <v>94</v>
      </c>
      <c r="S32" s="220" t="s">
        <v>117</v>
      </c>
      <c r="T32" s="220" t="s">
        <v>94</v>
      </c>
      <c r="U32" s="230"/>
      <c r="V32" s="231"/>
      <c r="W32" s="232"/>
      <c r="X32" s="237"/>
      <c r="Y32" s="234"/>
      <c r="Z32" s="234"/>
      <c r="AA32" s="82"/>
      <c r="AB32" s="82"/>
      <c r="AC32" s="82"/>
      <c r="AD32" s="82"/>
      <c r="AE32" s="82"/>
      <c r="AF32" s="82"/>
      <c r="AG32" s="82"/>
      <c r="AH32" s="82"/>
      <c r="AI32" s="82"/>
      <c r="AJ32" s="82"/>
      <c r="AK32" s="82"/>
      <c r="AL32" s="82"/>
      <c r="AM32" s="82"/>
      <c r="AN32" s="82"/>
    </row>
    <row r="33" spans="1:40" ht="15.75" thickBot="1">
      <c r="A33" s="225">
        <v>22.05</v>
      </c>
      <c r="B33" s="216" t="s">
        <v>118</v>
      </c>
      <c r="C33" s="216"/>
      <c r="D33" s="216" t="s">
        <v>120</v>
      </c>
      <c r="E33" s="216"/>
      <c r="F33" s="235"/>
      <c r="G33" s="227" t="s">
        <v>421</v>
      </c>
      <c r="H33" s="227" t="s">
        <v>2202</v>
      </c>
      <c r="I33" s="216"/>
      <c r="J33" s="216"/>
      <c r="K33" s="219"/>
      <c r="L33" s="225"/>
      <c r="M33" s="228">
        <v>7.2106481481481475E-3</v>
      </c>
      <c r="N33" s="228">
        <v>7.6736111111111111E-3</v>
      </c>
      <c r="O33" s="228">
        <v>4.6296296296296293E-4</v>
      </c>
      <c r="P33" s="229">
        <v>42990</v>
      </c>
      <c r="Q33" s="218" t="s">
        <v>2203</v>
      </c>
      <c r="R33" s="220" t="s">
        <v>94</v>
      </c>
      <c r="S33" s="220" t="s">
        <v>117</v>
      </c>
      <c r="T33" s="220" t="s">
        <v>94</v>
      </c>
      <c r="U33" s="230"/>
      <c r="V33" s="231"/>
      <c r="W33" s="232"/>
      <c r="X33" s="237"/>
      <c r="Y33" s="234"/>
      <c r="Z33" s="234" t="s">
        <v>423</v>
      </c>
      <c r="AA33" s="82"/>
      <c r="AB33" s="82"/>
      <c r="AC33" s="82"/>
      <c r="AD33" s="82"/>
      <c r="AE33" s="82"/>
      <c r="AF33" s="82"/>
      <c r="AG33" s="82"/>
      <c r="AH33" s="82"/>
      <c r="AI33" s="82"/>
      <c r="AJ33" s="82"/>
      <c r="AK33" s="82"/>
      <c r="AL33" s="82"/>
      <c r="AM33" s="82"/>
      <c r="AN33" s="82"/>
    </row>
    <row r="34" spans="1:40" ht="15.75" thickBot="1">
      <c r="A34" s="225">
        <v>22.06</v>
      </c>
      <c r="B34" s="216" t="s">
        <v>118</v>
      </c>
      <c r="C34" s="219"/>
      <c r="D34" s="216" t="s">
        <v>120</v>
      </c>
      <c r="E34" s="216"/>
      <c r="F34" s="235"/>
      <c r="G34" s="227" t="s">
        <v>426</v>
      </c>
      <c r="H34" s="227" t="s">
        <v>2204</v>
      </c>
      <c r="I34" s="216"/>
      <c r="J34" s="216"/>
      <c r="K34" s="219"/>
      <c r="L34" s="225"/>
      <c r="M34" s="228">
        <v>7.6851851851851847E-3</v>
      </c>
      <c r="N34" s="228">
        <v>9.2824074074074076E-3</v>
      </c>
      <c r="O34" s="228">
        <v>1.5972222222222221E-3</v>
      </c>
      <c r="P34" s="229">
        <v>42990</v>
      </c>
      <c r="Q34" s="218" t="s">
        <v>2205</v>
      </c>
      <c r="R34" s="220" t="s">
        <v>94</v>
      </c>
      <c r="S34" s="220" t="s">
        <v>117</v>
      </c>
      <c r="T34" s="220" t="s">
        <v>94</v>
      </c>
      <c r="U34" s="230"/>
      <c r="V34" s="231"/>
      <c r="W34" s="232"/>
      <c r="X34" s="237"/>
      <c r="Y34" s="234"/>
      <c r="Z34" s="234"/>
      <c r="AA34" s="82"/>
      <c r="AB34" s="82"/>
      <c r="AC34" s="82"/>
      <c r="AD34" s="82"/>
      <c r="AE34" s="82"/>
      <c r="AF34" s="82"/>
      <c r="AG34" s="82"/>
      <c r="AH34" s="82"/>
      <c r="AI34" s="82"/>
      <c r="AJ34" s="82"/>
      <c r="AK34" s="82"/>
      <c r="AL34" s="82"/>
      <c r="AM34" s="82"/>
      <c r="AN34" s="82"/>
    </row>
    <row r="35" spans="1:40" ht="15.75" thickBot="1">
      <c r="A35" s="225">
        <v>23</v>
      </c>
      <c r="B35" s="216" t="s">
        <v>118</v>
      </c>
      <c r="C35" s="216"/>
      <c r="D35" s="216" t="s">
        <v>120</v>
      </c>
      <c r="E35" s="216" t="s">
        <v>301</v>
      </c>
      <c r="F35" s="226" t="s">
        <v>302</v>
      </c>
      <c r="G35" s="227"/>
      <c r="H35" s="227"/>
      <c r="I35" s="216"/>
      <c r="J35" s="225">
        <v>3600</v>
      </c>
      <c r="K35" s="228">
        <v>7.4768518518518526E-3</v>
      </c>
      <c r="L35" s="225" t="s">
        <v>251</v>
      </c>
      <c r="M35" s="219"/>
      <c r="N35" s="219"/>
      <c r="O35" s="216"/>
      <c r="P35" s="229">
        <v>42991</v>
      </c>
      <c r="Q35" s="216"/>
      <c r="R35" s="220"/>
      <c r="S35" s="220"/>
      <c r="T35" s="220"/>
      <c r="U35" s="230"/>
      <c r="V35" s="231"/>
      <c r="W35" s="232"/>
      <c r="X35" s="233"/>
      <c r="Y35" s="216"/>
      <c r="Z35" s="216"/>
      <c r="AA35" s="82"/>
      <c r="AB35" s="82"/>
      <c r="AC35" s="82"/>
      <c r="AD35" s="82"/>
      <c r="AE35" s="82"/>
      <c r="AF35" s="82"/>
      <c r="AG35" s="82"/>
      <c r="AH35" s="82"/>
      <c r="AI35" s="82"/>
      <c r="AJ35" s="82"/>
      <c r="AK35" s="82"/>
      <c r="AL35" s="82"/>
      <c r="AM35" s="82"/>
      <c r="AN35" s="82"/>
    </row>
    <row r="36" spans="1:40" ht="15.75" thickBot="1">
      <c r="A36" s="225">
        <v>23.01</v>
      </c>
      <c r="B36" s="216" t="s">
        <v>118</v>
      </c>
      <c r="C36" s="216"/>
      <c r="D36" s="216" t="s">
        <v>120</v>
      </c>
      <c r="E36" s="216"/>
      <c r="F36" s="235"/>
      <c r="G36" s="227" t="s">
        <v>437</v>
      </c>
      <c r="H36" s="227" t="s">
        <v>438</v>
      </c>
      <c r="I36" s="216"/>
      <c r="J36" s="216"/>
      <c r="K36" s="219"/>
      <c r="L36" s="225"/>
      <c r="M36" s="228">
        <v>0</v>
      </c>
      <c r="N36" s="228">
        <v>1.5162037037037036E-3</v>
      </c>
      <c r="O36" s="228">
        <v>1.5162037037037036E-3</v>
      </c>
      <c r="P36" s="229">
        <v>42991</v>
      </c>
      <c r="Q36" s="226" t="s">
        <v>2206</v>
      </c>
      <c r="R36" s="220"/>
      <c r="S36" s="220"/>
      <c r="T36" s="220"/>
      <c r="U36" s="230"/>
      <c r="V36" s="231"/>
      <c r="W36" s="232"/>
      <c r="X36" s="233"/>
      <c r="Y36" s="216"/>
      <c r="Z36" s="216"/>
      <c r="AA36" s="82"/>
      <c r="AB36" s="82"/>
      <c r="AC36" s="82"/>
      <c r="AD36" s="82"/>
      <c r="AE36" s="82"/>
      <c r="AF36" s="82"/>
      <c r="AG36" s="82"/>
      <c r="AH36" s="82"/>
      <c r="AI36" s="82"/>
      <c r="AJ36" s="82"/>
      <c r="AK36" s="82"/>
      <c r="AL36" s="82"/>
      <c r="AM36" s="82"/>
      <c r="AN36" s="82"/>
    </row>
    <row r="37" spans="1:40" ht="15.75" thickBot="1">
      <c r="A37" s="225">
        <v>23.02</v>
      </c>
      <c r="B37" s="216" t="s">
        <v>118</v>
      </c>
      <c r="C37" s="216"/>
      <c r="D37" s="216" t="s">
        <v>120</v>
      </c>
      <c r="E37" s="216"/>
      <c r="F37" s="235"/>
      <c r="G37" s="227" t="s">
        <v>2207</v>
      </c>
      <c r="H37" s="227" t="s">
        <v>450</v>
      </c>
      <c r="I37" s="216"/>
      <c r="J37" s="216"/>
      <c r="K37" s="219"/>
      <c r="L37" s="225"/>
      <c r="M37" s="228">
        <v>1.5162037037037036E-3</v>
      </c>
      <c r="N37" s="228">
        <v>4.0856481481481481E-3</v>
      </c>
      <c r="O37" s="228">
        <v>2.5694444444444445E-3</v>
      </c>
      <c r="P37" s="229">
        <v>42991</v>
      </c>
      <c r="Q37" s="226" t="s">
        <v>2208</v>
      </c>
      <c r="R37" s="220"/>
      <c r="S37" s="220"/>
      <c r="T37" s="220"/>
      <c r="U37" s="230"/>
      <c r="V37" s="231"/>
      <c r="W37" s="232"/>
      <c r="X37" s="233"/>
      <c r="Y37" s="216"/>
      <c r="Z37" s="216"/>
      <c r="AA37" s="82"/>
      <c r="AB37" s="82"/>
      <c r="AC37" s="82"/>
      <c r="AD37" s="82"/>
      <c r="AE37" s="82"/>
      <c r="AF37" s="82"/>
      <c r="AG37" s="82"/>
      <c r="AH37" s="82"/>
      <c r="AI37" s="82"/>
      <c r="AJ37" s="82"/>
      <c r="AK37" s="82"/>
      <c r="AL37" s="82"/>
      <c r="AM37" s="82"/>
      <c r="AN37" s="82"/>
    </row>
    <row r="38" spans="1:40" ht="15.75" thickBot="1">
      <c r="A38" s="225">
        <v>23.03</v>
      </c>
      <c r="B38" s="216" t="s">
        <v>118</v>
      </c>
      <c r="C38" s="216"/>
      <c r="D38" s="216" t="s">
        <v>120</v>
      </c>
      <c r="E38" s="216"/>
      <c r="F38" s="235"/>
      <c r="G38" s="227" t="s">
        <v>455</v>
      </c>
      <c r="H38" s="227" t="s">
        <v>456</v>
      </c>
      <c r="I38" s="216"/>
      <c r="J38" s="216"/>
      <c r="K38" s="219"/>
      <c r="L38" s="225"/>
      <c r="M38" s="228">
        <v>4.1435185185185186E-3</v>
      </c>
      <c r="N38" s="228">
        <v>7.3958333333333341E-3</v>
      </c>
      <c r="O38" s="228">
        <v>3.2523148148148151E-3</v>
      </c>
      <c r="P38" s="229">
        <v>42991</v>
      </c>
      <c r="Q38" s="226" t="s">
        <v>2209</v>
      </c>
      <c r="R38" s="220"/>
      <c r="S38" s="220"/>
      <c r="T38" s="220"/>
      <c r="U38" s="230"/>
      <c r="V38" s="231"/>
      <c r="W38" s="232"/>
      <c r="X38" s="233"/>
      <c r="Y38" s="216"/>
      <c r="Z38" s="216"/>
      <c r="AA38" s="82"/>
      <c r="AB38" s="82"/>
      <c r="AC38" s="82"/>
      <c r="AD38" s="82"/>
      <c r="AE38" s="82"/>
      <c r="AF38" s="82"/>
      <c r="AG38" s="82"/>
      <c r="AH38" s="82"/>
      <c r="AI38" s="82"/>
      <c r="AJ38" s="82"/>
      <c r="AK38" s="82"/>
      <c r="AL38" s="82"/>
      <c r="AM38" s="82"/>
      <c r="AN38" s="82"/>
    </row>
    <row r="39" spans="1:40" ht="15.75" thickBot="1">
      <c r="A39" s="225">
        <v>24</v>
      </c>
      <c r="B39" s="219" t="s">
        <v>118</v>
      </c>
      <c r="C39" s="216"/>
      <c r="D39" s="219" t="s">
        <v>120</v>
      </c>
      <c r="E39" s="216" t="s">
        <v>305</v>
      </c>
      <c r="F39" s="218" t="s">
        <v>306</v>
      </c>
      <c r="G39" s="227" t="s">
        <v>2210</v>
      </c>
      <c r="H39" s="219"/>
      <c r="I39" s="225"/>
      <c r="J39" s="225">
        <v>2400</v>
      </c>
      <c r="K39" s="228">
        <v>8.2523148148148148E-3</v>
      </c>
      <c r="L39" s="225" t="s">
        <v>251</v>
      </c>
      <c r="M39" s="219"/>
      <c r="N39" s="219"/>
      <c r="O39" s="216"/>
      <c r="P39" s="229">
        <v>43008</v>
      </c>
      <c r="Q39" s="216"/>
      <c r="R39" s="220"/>
      <c r="S39" s="220"/>
      <c r="T39" s="220"/>
      <c r="U39" s="230"/>
      <c r="V39" s="231"/>
      <c r="W39" s="232"/>
      <c r="X39" s="233"/>
      <c r="Y39" s="219"/>
      <c r="Z39" s="238" t="s">
        <v>466</v>
      </c>
      <c r="AA39" s="82"/>
      <c r="AB39" s="82"/>
      <c r="AC39" s="82"/>
      <c r="AD39" s="82"/>
      <c r="AE39" s="82"/>
      <c r="AF39" s="82"/>
      <c r="AG39" s="82"/>
      <c r="AH39" s="82"/>
      <c r="AI39" s="82"/>
      <c r="AJ39" s="82"/>
      <c r="AK39" s="82"/>
      <c r="AL39" s="82"/>
      <c r="AM39" s="82"/>
      <c r="AN39" s="82"/>
    </row>
    <row r="40" spans="1:40" ht="15.75" thickBot="1">
      <c r="A40" s="225">
        <v>24.01</v>
      </c>
      <c r="B40" s="219" t="s">
        <v>118</v>
      </c>
      <c r="C40" s="219"/>
      <c r="D40" s="216" t="s">
        <v>120</v>
      </c>
      <c r="E40" s="216"/>
      <c r="F40" s="227"/>
      <c r="G40" s="219" t="s">
        <v>469</v>
      </c>
      <c r="H40" s="227" t="s">
        <v>470</v>
      </c>
      <c r="I40" s="216"/>
      <c r="J40" s="216"/>
      <c r="K40" s="219"/>
      <c r="L40" s="225"/>
      <c r="M40" s="228">
        <v>1.423611111111111E-3</v>
      </c>
      <c r="N40" s="228">
        <v>1.9560185185185184E-3</v>
      </c>
      <c r="O40" s="228">
        <v>5.3240740740740744E-4</v>
      </c>
      <c r="P40" s="229">
        <v>43008</v>
      </c>
      <c r="Q40" s="218" t="s">
        <v>2211</v>
      </c>
      <c r="R40" s="220" t="s">
        <v>94</v>
      </c>
      <c r="S40" s="220" t="s">
        <v>117</v>
      </c>
      <c r="T40" s="220" t="s">
        <v>117</v>
      </c>
      <c r="U40" s="230"/>
      <c r="V40" s="231"/>
      <c r="W40" s="232"/>
      <c r="X40" s="233"/>
      <c r="Y40" s="219"/>
      <c r="Z40" s="219"/>
      <c r="AA40" s="82"/>
      <c r="AB40" s="82"/>
      <c r="AC40" s="82"/>
      <c r="AD40" s="82"/>
      <c r="AE40" s="82"/>
      <c r="AF40" s="82"/>
      <c r="AG40" s="82"/>
      <c r="AH40" s="82"/>
      <c r="AI40" s="82"/>
      <c r="AJ40" s="82"/>
      <c r="AK40" s="82"/>
      <c r="AL40" s="82"/>
      <c r="AM40" s="82"/>
      <c r="AN40" s="82"/>
    </row>
    <row r="41" spans="1:40" ht="15.75" thickBot="1">
      <c r="A41" s="225">
        <v>24.02</v>
      </c>
      <c r="B41" s="219" t="s">
        <v>118</v>
      </c>
      <c r="C41" s="216"/>
      <c r="D41" s="216" t="s">
        <v>120</v>
      </c>
      <c r="E41" s="216"/>
      <c r="F41" s="227"/>
      <c r="G41" s="219" t="s">
        <v>476</v>
      </c>
      <c r="H41" s="227" t="s">
        <v>478</v>
      </c>
      <c r="I41" s="216"/>
      <c r="J41" s="216"/>
      <c r="K41" s="219"/>
      <c r="L41" s="225"/>
      <c r="M41" s="228">
        <v>2.5810185185185185E-3</v>
      </c>
      <c r="N41" s="228">
        <v>5.4629629629629637E-3</v>
      </c>
      <c r="O41" s="228">
        <v>2.8819444444444444E-3</v>
      </c>
      <c r="P41" s="229">
        <v>43008</v>
      </c>
      <c r="Q41" s="226" t="s">
        <v>2212</v>
      </c>
      <c r="R41" s="220"/>
      <c r="S41" s="220"/>
      <c r="T41" s="220"/>
      <c r="U41" s="230"/>
      <c r="V41" s="231"/>
      <c r="W41" s="232"/>
      <c r="X41" s="233"/>
      <c r="Y41" s="216"/>
      <c r="Z41" s="216"/>
      <c r="AA41" s="82"/>
      <c r="AB41" s="82"/>
      <c r="AC41" s="82"/>
      <c r="AD41" s="82"/>
      <c r="AE41" s="82"/>
      <c r="AF41" s="82"/>
      <c r="AG41" s="82"/>
      <c r="AH41" s="82"/>
      <c r="AI41" s="82"/>
      <c r="AJ41" s="82"/>
      <c r="AK41" s="82"/>
      <c r="AL41" s="82"/>
      <c r="AM41" s="82"/>
      <c r="AN41" s="82"/>
    </row>
    <row r="42" spans="1:40" ht="15.75" thickBot="1">
      <c r="A42" s="225">
        <v>24.03</v>
      </c>
      <c r="B42" s="219" t="s">
        <v>118</v>
      </c>
      <c r="C42" s="216"/>
      <c r="D42" s="216" t="s">
        <v>120</v>
      </c>
      <c r="E42" s="216"/>
      <c r="F42" s="227"/>
      <c r="G42" s="219" t="s">
        <v>479</v>
      </c>
      <c r="H42" s="227" t="s">
        <v>480</v>
      </c>
      <c r="I42" s="216"/>
      <c r="J42" s="216"/>
      <c r="K42" s="219"/>
      <c r="L42" s="225"/>
      <c r="M42" s="228">
        <v>5.4629629629629637E-3</v>
      </c>
      <c r="N42" s="228">
        <v>6.6203703703703702E-3</v>
      </c>
      <c r="O42" s="228">
        <v>1.1574074074074073E-3</v>
      </c>
      <c r="P42" s="229">
        <v>43008</v>
      </c>
      <c r="Q42" s="226" t="s">
        <v>2213</v>
      </c>
      <c r="R42" s="220"/>
      <c r="S42" s="220"/>
      <c r="T42" s="220"/>
      <c r="U42" s="230"/>
      <c r="V42" s="231"/>
      <c r="W42" s="232"/>
      <c r="X42" s="233"/>
      <c r="Y42" s="216"/>
      <c r="Z42" s="216"/>
      <c r="AA42" s="82"/>
      <c r="AB42" s="82"/>
      <c r="AC42" s="82"/>
      <c r="AD42" s="82"/>
      <c r="AE42" s="82"/>
      <c r="AF42" s="82"/>
      <c r="AG42" s="82"/>
      <c r="AH42" s="82"/>
      <c r="AI42" s="82"/>
      <c r="AJ42" s="82"/>
      <c r="AK42" s="82"/>
      <c r="AL42" s="82"/>
      <c r="AM42" s="82"/>
      <c r="AN42" s="82"/>
    </row>
    <row r="43" spans="1:40" ht="15.75" thickBot="1">
      <c r="A43" s="225">
        <v>24.04</v>
      </c>
      <c r="B43" s="219" t="s">
        <v>118</v>
      </c>
      <c r="C43" s="216"/>
      <c r="D43" s="216" t="s">
        <v>120</v>
      </c>
      <c r="E43" s="216"/>
      <c r="F43" s="227"/>
      <c r="G43" s="219" t="s">
        <v>484</v>
      </c>
      <c r="H43" s="227" t="s">
        <v>485</v>
      </c>
      <c r="I43" s="216"/>
      <c r="J43" s="216"/>
      <c r="K43" s="219"/>
      <c r="L43" s="225"/>
      <c r="M43" s="228">
        <v>6.6203703703703702E-3</v>
      </c>
      <c r="N43" s="228">
        <v>8.2407407407407412E-3</v>
      </c>
      <c r="O43" s="228">
        <v>1.6203703703703703E-3</v>
      </c>
      <c r="P43" s="229">
        <v>43008</v>
      </c>
      <c r="Q43" s="226" t="s">
        <v>2214</v>
      </c>
      <c r="R43" s="220"/>
      <c r="S43" s="220"/>
      <c r="T43" s="220"/>
      <c r="U43" s="230"/>
      <c r="V43" s="231"/>
      <c r="W43" s="232"/>
      <c r="X43" s="233"/>
      <c r="Y43" s="216"/>
      <c r="Z43" s="216"/>
      <c r="AA43" s="82"/>
      <c r="AB43" s="82"/>
      <c r="AC43" s="82"/>
      <c r="AD43" s="82"/>
      <c r="AE43" s="82"/>
      <c r="AF43" s="82"/>
      <c r="AG43" s="82"/>
      <c r="AH43" s="82"/>
      <c r="AI43" s="82"/>
      <c r="AJ43" s="82"/>
      <c r="AK43" s="82"/>
      <c r="AL43" s="82"/>
      <c r="AM43" s="82"/>
      <c r="AN43" s="82"/>
    </row>
    <row r="44" spans="1:40" ht="15.75" thickBot="1">
      <c r="A44" s="225">
        <v>25</v>
      </c>
      <c r="B44" s="219" t="s">
        <v>118</v>
      </c>
      <c r="C44" s="216"/>
      <c r="D44" s="219" t="s">
        <v>120</v>
      </c>
      <c r="E44" s="216" t="s">
        <v>310</v>
      </c>
      <c r="F44" s="226" t="s">
        <v>311</v>
      </c>
      <c r="G44" s="227"/>
      <c r="H44" s="227"/>
      <c r="I44" s="216"/>
      <c r="J44" s="225">
        <v>2100</v>
      </c>
      <c r="K44" s="228">
        <v>9.618055555555555E-3</v>
      </c>
      <c r="L44" s="225" t="s">
        <v>251</v>
      </c>
      <c r="M44" s="219"/>
      <c r="N44" s="219"/>
      <c r="O44" s="216"/>
      <c r="P44" s="229">
        <v>43008</v>
      </c>
      <c r="Q44" s="216"/>
      <c r="R44" s="216"/>
      <c r="S44" s="216"/>
      <c r="T44" s="216"/>
      <c r="U44" s="216"/>
      <c r="V44" s="216"/>
      <c r="W44" s="216"/>
      <c r="X44" s="233"/>
      <c r="Y44" s="219"/>
      <c r="Z44" s="238" t="s">
        <v>494</v>
      </c>
      <c r="AA44" s="51"/>
      <c r="AB44" s="51"/>
      <c r="AC44" s="94"/>
      <c r="AD44" s="94"/>
      <c r="AE44" s="94"/>
      <c r="AF44" s="94"/>
      <c r="AG44" s="94"/>
      <c r="AH44" s="94"/>
      <c r="AI44" s="94"/>
      <c r="AJ44" s="94"/>
      <c r="AK44" s="94"/>
      <c r="AL44" s="94"/>
      <c r="AM44" s="94"/>
      <c r="AN44" s="94"/>
    </row>
    <row r="45" spans="1:40" ht="15.75" thickBot="1">
      <c r="A45" s="225">
        <v>25.01</v>
      </c>
      <c r="B45" s="219" t="s">
        <v>118</v>
      </c>
      <c r="C45" s="216"/>
      <c r="D45" s="219" t="s">
        <v>120</v>
      </c>
      <c r="E45" s="216"/>
      <c r="F45" s="227"/>
      <c r="G45" s="219" t="s">
        <v>484</v>
      </c>
      <c r="H45" s="227" t="s">
        <v>498</v>
      </c>
      <c r="I45" s="216"/>
      <c r="J45" s="216"/>
      <c r="K45" s="219"/>
      <c r="L45" s="225"/>
      <c r="M45" s="228">
        <v>2.3148148148148147E-5</v>
      </c>
      <c r="N45" s="228">
        <v>6.0648148148148145E-3</v>
      </c>
      <c r="O45" s="228">
        <v>6.0416666666666665E-3</v>
      </c>
      <c r="P45" s="229">
        <v>43008</v>
      </c>
      <c r="Q45" s="218" t="s">
        <v>2215</v>
      </c>
      <c r="R45" s="220" t="s">
        <v>94</v>
      </c>
      <c r="S45" s="220" t="s">
        <v>117</v>
      </c>
      <c r="T45" s="220" t="s">
        <v>117</v>
      </c>
      <c r="U45" s="230"/>
      <c r="V45" s="231"/>
      <c r="W45" s="232"/>
      <c r="X45" s="233"/>
      <c r="Y45" s="216"/>
      <c r="Z45" s="216"/>
      <c r="AA45" s="82"/>
      <c r="AB45" s="82"/>
      <c r="AC45" s="82"/>
      <c r="AD45" s="82"/>
      <c r="AE45" s="82"/>
      <c r="AF45" s="82"/>
      <c r="AG45" s="82"/>
      <c r="AH45" s="82"/>
      <c r="AI45" s="82"/>
      <c r="AJ45" s="82"/>
      <c r="AK45" s="82"/>
      <c r="AL45" s="82"/>
      <c r="AM45" s="82"/>
      <c r="AN45" s="82"/>
    </row>
    <row r="46" spans="1:40" ht="15.75" thickBot="1">
      <c r="A46" s="225">
        <v>26</v>
      </c>
      <c r="B46" s="216" t="s">
        <v>118</v>
      </c>
      <c r="C46" s="216"/>
      <c r="D46" s="216" t="s">
        <v>120</v>
      </c>
      <c r="E46" s="216" t="s">
        <v>314</v>
      </c>
      <c r="F46" s="226" t="s">
        <v>315</v>
      </c>
      <c r="G46" s="227"/>
      <c r="H46" s="227"/>
      <c r="I46" s="216"/>
      <c r="J46" s="225">
        <v>14000</v>
      </c>
      <c r="K46" s="228">
        <v>7.4884259259259262E-3</v>
      </c>
      <c r="L46" s="225" t="s">
        <v>251</v>
      </c>
      <c r="M46" s="219"/>
      <c r="N46" s="219"/>
      <c r="O46" s="216"/>
      <c r="P46" s="229">
        <v>42991</v>
      </c>
      <c r="Q46" s="216"/>
      <c r="R46" s="220"/>
      <c r="S46" s="220"/>
      <c r="T46" s="220"/>
      <c r="U46" s="230"/>
      <c r="V46" s="231"/>
      <c r="W46" s="232"/>
      <c r="X46" s="233"/>
      <c r="Y46" s="216"/>
      <c r="Z46" s="216"/>
      <c r="AA46" s="82"/>
      <c r="AB46" s="82"/>
      <c r="AC46" s="82"/>
      <c r="AD46" s="82"/>
      <c r="AE46" s="82"/>
      <c r="AF46" s="82"/>
      <c r="AG46" s="82"/>
      <c r="AH46" s="82"/>
      <c r="AI46" s="82"/>
      <c r="AJ46" s="82"/>
      <c r="AK46" s="82"/>
      <c r="AL46" s="82"/>
      <c r="AM46" s="82"/>
      <c r="AN46" s="82"/>
    </row>
    <row r="47" spans="1:40" ht="15.75" thickBot="1">
      <c r="A47" s="225">
        <v>26.01</v>
      </c>
      <c r="B47" s="216" t="s">
        <v>118</v>
      </c>
      <c r="C47" s="216"/>
      <c r="D47" s="216" t="s">
        <v>120</v>
      </c>
      <c r="E47" s="216"/>
      <c r="F47" s="235"/>
      <c r="G47" s="227" t="s">
        <v>400</v>
      </c>
      <c r="H47" s="227" t="s">
        <v>2216</v>
      </c>
      <c r="I47" s="216"/>
      <c r="J47" s="216"/>
      <c r="K47" s="219"/>
      <c r="L47" s="225"/>
      <c r="M47" s="228">
        <v>9.2592592592592585E-4</v>
      </c>
      <c r="N47" s="228">
        <v>2.9861111111111113E-3</v>
      </c>
      <c r="O47" s="228">
        <v>2.0601851851851853E-3</v>
      </c>
      <c r="P47" s="229">
        <v>42991</v>
      </c>
      <c r="Q47" s="226" t="s">
        <v>2217</v>
      </c>
      <c r="R47" s="220"/>
      <c r="S47" s="220"/>
      <c r="T47" s="220"/>
      <c r="U47" s="230"/>
      <c r="V47" s="231"/>
      <c r="W47" s="232"/>
      <c r="X47" s="237"/>
      <c r="Y47" s="234"/>
      <c r="Z47" s="234" t="s">
        <v>515</v>
      </c>
      <c r="AA47" s="82"/>
      <c r="AB47" s="82"/>
      <c r="AC47" s="82"/>
      <c r="AD47" s="82"/>
      <c r="AE47" s="82"/>
      <c r="AF47" s="82"/>
      <c r="AG47" s="82"/>
      <c r="AH47" s="82"/>
      <c r="AI47" s="82"/>
      <c r="AJ47" s="82"/>
      <c r="AK47" s="82"/>
      <c r="AL47" s="82"/>
      <c r="AM47" s="82"/>
      <c r="AN47" s="82"/>
    </row>
    <row r="48" spans="1:40" ht="15.75" thickBot="1">
      <c r="A48" s="225">
        <v>26.02</v>
      </c>
      <c r="B48" s="216" t="s">
        <v>118</v>
      </c>
      <c r="C48" s="216"/>
      <c r="D48" s="216" t="s">
        <v>120</v>
      </c>
      <c r="E48" s="216"/>
      <c r="F48" s="235"/>
      <c r="G48" s="227" t="s">
        <v>518</v>
      </c>
      <c r="H48" s="227" t="s">
        <v>519</v>
      </c>
      <c r="I48" s="216"/>
      <c r="J48" s="216"/>
      <c r="K48" s="219"/>
      <c r="L48" s="225"/>
      <c r="M48" s="228">
        <v>3.0787037037037037E-3</v>
      </c>
      <c r="N48" s="228">
        <v>4.6412037037037038E-3</v>
      </c>
      <c r="O48" s="228">
        <v>1.5624999999999999E-3</v>
      </c>
      <c r="P48" s="229">
        <v>42991</v>
      </c>
      <c r="Q48" s="226" t="s">
        <v>2218</v>
      </c>
      <c r="R48" s="220"/>
      <c r="S48" s="220"/>
      <c r="T48" s="220"/>
      <c r="U48" s="230"/>
      <c r="V48" s="231"/>
      <c r="W48" s="232"/>
      <c r="X48" s="237"/>
      <c r="Y48" s="234"/>
      <c r="Z48" s="234"/>
      <c r="AA48" s="82"/>
      <c r="AB48" s="82"/>
      <c r="AC48" s="82"/>
      <c r="AD48" s="82"/>
      <c r="AE48" s="82"/>
      <c r="AF48" s="82"/>
      <c r="AG48" s="82"/>
      <c r="AH48" s="82"/>
      <c r="AI48" s="82"/>
      <c r="AJ48" s="82"/>
      <c r="AK48" s="82"/>
      <c r="AL48" s="82"/>
      <c r="AM48" s="82"/>
      <c r="AN48" s="82"/>
    </row>
    <row r="49" spans="1:40" ht="15.75" thickBot="1">
      <c r="A49" s="225">
        <v>26.03</v>
      </c>
      <c r="B49" s="216" t="s">
        <v>118</v>
      </c>
      <c r="C49" s="216"/>
      <c r="D49" s="216" t="s">
        <v>120</v>
      </c>
      <c r="E49" s="216"/>
      <c r="F49" s="235"/>
      <c r="G49" s="227" t="s">
        <v>523</v>
      </c>
      <c r="H49" s="227" t="s">
        <v>524</v>
      </c>
      <c r="I49" s="216"/>
      <c r="J49" s="216"/>
      <c r="K49" s="219"/>
      <c r="L49" s="225"/>
      <c r="M49" s="228">
        <v>6.5162037037037037E-3</v>
      </c>
      <c r="N49" s="228">
        <v>7.4768518518518526E-3</v>
      </c>
      <c r="O49" s="228">
        <v>9.6064814814814808E-4</v>
      </c>
      <c r="P49" s="229">
        <v>42991</v>
      </c>
      <c r="Q49" s="226" t="s">
        <v>2219</v>
      </c>
      <c r="R49" s="220"/>
      <c r="S49" s="220"/>
      <c r="T49" s="220"/>
      <c r="U49" s="230"/>
      <c r="V49" s="231"/>
      <c r="W49" s="232"/>
      <c r="X49" s="237"/>
      <c r="Y49" s="234"/>
      <c r="Z49" s="234"/>
      <c r="AA49" s="82"/>
      <c r="AB49" s="82"/>
      <c r="AC49" s="82"/>
      <c r="AD49" s="82"/>
      <c r="AE49" s="82"/>
      <c r="AF49" s="82"/>
      <c r="AG49" s="82"/>
      <c r="AH49" s="82"/>
      <c r="AI49" s="82"/>
      <c r="AJ49" s="82"/>
      <c r="AK49" s="82"/>
      <c r="AL49" s="82"/>
      <c r="AM49" s="82"/>
      <c r="AN49" s="82"/>
    </row>
    <row r="50" spans="1:40" ht="15.75" thickBot="1">
      <c r="A50" s="225">
        <v>27</v>
      </c>
      <c r="B50" s="216" t="s">
        <v>118</v>
      </c>
      <c r="C50" s="216"/>
      <c r="D50" s="216" t="s">
        <v>120</v>
      </c>
      <c r="E50" s="216" t="s">
        <v>318</v>
      </c>
      <c r="F50" s="226" t="s">
        <v>319</v>
      </c>
      <c r="G50" s="227"/>
      <c r="H50" s="227"/>
      <c r="I50" s="216"/>
      <c r="J50" s="225">
        <v>15000</v>
      </c>
      <c r="K50" s="228">
        <v>3.2407407407407406E-3</v>
      </c>
      <c r="L50" s="225" t="s">
        <v>251</v>
      </c>
      <c r="M50" s="219"/>
      <c r="N50" s="219"/>
      <c r="O50" s="216"/>
      <c r="P50" s="229">
        <v>42991</v>
      </c>
      <c r="Q50" s="216"/>
      <c r="R50" s="220"/>
      <c r="S50" s="220"/>
      <c r="T50" s="220"/>
      <c r="U50" s="230"/>
      <c r="V50" s="231"/>
      <c r="W50" s="232"/>
      <c r="X50" s="237"/>
      <c r="Y50" s="234"/>
      <c r="Z50" s="234" t="s">
        <v>531</v>
      </c>
      <c r="AA50" s="82"/>
      <c r="AB50" s="82"/>
      <c r="AC50" s="82"/>
      <c r="AD50" s="82"/>
      <c r="AE50" s="82"/>
      <c r="AF50" s="82"/>
      <c r="AG50" s="82"/>
      <c r="AH50" s="82"/>
      <c r="AI50" s="82"/>
      <c r="AJ50" s="82"/>
      <c r="AK50" s="82"/>
      <c r="AL50" s="82"/>
      <c r="AM50" s="82"/>
      <c r="AN50" s="82"/>
    </row>
    <row r="51" spans="1:40" ht="15.75" thickBot="1">
      <c r="A51" s="225">
        <v>28</v>
      </c>
      <c r="B51" s="216" t="s">
        <v>118</v>
      </c>
      <c r="C51" s="216"/>
      <c r="D51" s="216" t="s">
        <v>120</v>
      </c>
      <c r="E51" s="216" t="s">
        <v>322</v>
      </c>
      <c r="F51" s="226" t="s">
        <v>323</v>
      </c>
      <c r="G51" s="227"/>
      <c r="H51" s="227"/>
      <c r="I51" s="216"/>
      <c r="J51" s="225">
        <v>9300</v>
      </c>
      <c r="K51" s="228">
        <v>8.0671296296296307E-3</v>
      </c>
      <c r="L51" s="225" t="s">
        <v>251</v>
      </c>
      <c r="M51" s="219"/>
      <c r="N51" s="219"/>
      <c r="O51" s="216"/>
      <c r="P51" s="229">
        <v>42991</v>
      </c>
      <c r="Q51" s="216"/>
      <c r="R51" s="220"/>
      <c r="S51" s="220"/>
      <c r="T51" s="220"/>
      <c r="U51" s="230"/>
      <c r="V51" s="231"/>
      <c r="W51" s="232"/>
      <c r="X51" s="233"/>
      <c r="Y51" s="216"/>
      <c r="Z51" s="216"/>
      <c r="AA51" s="82"/>
      <c r="AB51" s="82"/>
      <c r="AC51" s="82"/>
      <c r="AD51" s="82"/>
      <c r="AE51" s="82"/>
      <c r="AF51" s="82"/>
      <c r="AG51" s="82"/>
      <c r="AH51" s="82"/>
      <c r="AI51" s="82"/>
      <c r="AJ51" s="82"/>
      <c r="AK51" s="82"/>
      <c r="AL51" s="82"/>
      <c r="AM51" s="82"/>
      <c r="AN51" s="82"/>
    </row>
    <row r="52" spans="1:40" ht="15.75" thickBot="1">
      <c r="A52" s="225">
        <v>28.01</v>
      </c>
      <c r="B52" s="216" t="s">
        <v>118</v>
      </c>
      <c r="C52" s="216"/>
      <c r="D52" s="216" t="s">
        <v>120</v>
      </c>
      <c r="E52" s="216"/>
      <c r="F52" s="235"/>
      <c r="G52" s="227" t="s">
        <v>543</v>
      </c>
      <c r="H52" s="227" t="s">
        <v>544</v>
      </c>
      <c r="I52" s="216"/>
      <c r="J52" s="216"/>
      <c r="K52" s="219"/>
      <c r="L52" s="225"/>
      <c r="M52" s="228">
        <v>0</v>
      </c>
      <c r="N52" s="228">
        <v>8.7962962962962962E-4</v>
      </c>
      <c r="O52" s="228">
        <v>8.7962962962962962E-4</v>
      </c>
      <c r="P52" s="229">
        <v>42991</v>
      </c>
      <c r="Q52" s="226" t="s">
        <v>2220</v>
      </c>
      <c r="R52" s="220"/>
      <c r="S52" s="220"/>
      <c r="T52" s="220"/>
      <c r="U52" s="230"/>
      <c r="V52" s="231"/>
      <c r="W52" s="232"/>
      <c r="X52" s="237"/>
      <c r="Y52" s="234"/>
      <c r="Z52" s="234"/>
      <c r="AA52" s="82"/>
      <c r="AB52" s="82"/>
      <c r="AC52" s="82"/>
      <c r="AD52" s="82"/>
      <c r="AE52" s="82"/>
      <c r="AF52" s="82"/>
      <c r="AG52" s="82"/>
      <c r="AH52" s="82"/>
      <c r="AI52" s="82"/>
      <c r="AJ52" s="82"/>
      <c r="AK52" s="82"/>
      <c r="AL52" s="82"/>
      <c r="AM52" s="82"/>
      <c r="AN52" s="82"/>
    </row>
    <row r="53" spans="1:40" ht="15.75" thickBot="1">
      <c r="A53" s="225">
        <v>28.02</v>
      </c>
      <c r="B53" s="216" t="s">
        <v>118</v>
      </c>
      <c r="C53" s="216"/>
      <c r="D53" s="216" t="s">
        <v>120</v>
      </c>
      <c r="E53" s="216"/>
      <c r="F53" s="235"/>
      <c r="G53" s="227" t="s">
        <v>550</v>
      </c>
      <c r="H53" s="227" t="s">
        <v>552</v>
      </c>
      <c r="I53" s="216"/>
      <c r="J53" s="216"/>
      <c r="K53" s="219"/>
      <c r="L53" s="225"/>
      <c r="M53" s="228">
        <v>8.9120370370370362E-4</v>
      </c>
      <c r="N53" s="228">
        <v>2.1296296296296298E-3</v>
      </c>
      <c r="O53" s="228">
        <v>1.2384259259259258E-3</v>
      </c>
      <c r="P53" s="229">
        <v>42991</v>
      </c>
      <c r="Q53" s="226" t="s">
        <v>2221</v>
      </c>
      <c r="R53" s="220"/>
      <c r="S53" s="220"/>
      <c r="T53" s="220"/>
      <c r="U53" s="230"/>
      <c r="V53" s="231"/>
      <c r="W53" s="232"/>
      <c r="X53" s="237"/>
      <c r="Y53" s="234"/>
      <c r="Z53" s="234" t="s">
        <v>554</v>
      </c>
      <c r="AA53" s="82"/>
      <c r="AB53" s="82"/>
      <c r="AC53" s="82"/>
      <c r="AD53" s="82"/>
      <c r="AE53" s="82"/>
      <c r="AF53" s="82"/>
      <c r="AG53" s="82"/>
      <c r="AH53" s="82"/>
      <c r="AI53" s="82"/>
      <c r="AJ53" s="82"/>
      <c r="AK53" s="82"/>
      <c r="AL53" s="82"/>
      <c r="AM53" s="82"/>
      <c r="AN53" s="82"/>
    </row>
    <row r="54" spans="1:40" ht="15.75" thickBot="1">
      <c r="A54" s="225">
        <v>28.03</v>
      </c>
      <c r="B54" s="216" t="s">
        <v>118</v>
      </c>
      <c r="C54" s="216"/>
      <c r="D54" s="216" t="s">
        <v>120</v>
      </c>
      <c r="E54" s="216"/>
      <c r="F54" s="235"/>
      <c r="G54" s="227" t="s">
        <v>557</v>
      </c>
      <c r="H54" s="227" t="s">
        <v>558</v>
      </c>
      <c r="I54" s="216"/>
      <c r="J54" s="216"/>
      <c r="K54" s="219"/>
      <c r="L54" s="225"/>
      <c r="M54" s="228">
        <v>2.2800925925925927E-3</v>
      </c>
      <c r="N54" s="228">
        <v>3.5185185185185185E-3</v>
      </c>
      <c r="O54" s="228">
        <v>1.2384259259259258E-3</v>
      </c>
      <c r="P54" s="229">
        <v>42991</v>
      </c>
      <c r="Q54" s="226" t="s">
        <v>2222</v>
      </c>
      <c r="R54" s="220"/>
      <c r="S54" s="220"/>
      <c r="T54" s="220"/>
      <c r="U54" s="230"/>
      <c r="V54" s="231"/>
      <c r="W54" s="232"/>
      <c r="X54" s="237"/>
      <c r="Y54" s="234"/>
      <c r="Z54" s="234" t="s">
        <v>554</v>
      </c>
      <c r="AA54" s="82"/>
      <c r="AB54" s="82"/>
      <c r="AC54" s="82"/>
      <c r="AD54" s="82"/>
      <c r="AE54" s="82"/>
      <c r="AF54" s="82"/>
      <c r="AG54" s="82"/>
      <c r="AH54" s="82"/>
      <c r="AI54" s="82"/>
      <c r="AJ54" s="82"/>
      <c r="AK54" s="82"/>
      <c r="AL54" s="82"/>
      <c r="AM54" s="82"/>
      <c r="AN54" s="82"/>
    </row>
    <row r="55" spans="1:40" ht="15.75" thickBot="1">
      <c r="A55" s="225">
        <v>28.04</v>
      </c>
      <c r="B55" s="216" t="s">
        <v>118</v>
      </c>
      <c r="C55" s="216"/>
      <c r="D55" s="216" t="s">
        <v>120</v>
      </c>
      <c r="E55" s="216"/>
      <c r="F55" s="235"/>
      <c r="G55" s="227" t="s">
        <v>563</v>
      </c>
      <c r="H55" s="227" t="s">
        <v>2223</v>
      </c>
      <c r="I55" s="216"/>
      <c r="J55" s="216"/>
      <c r="K55" s="219"/>
      <c r="L55" s="225"/>
      <c r="M55" s="228">
        <v>3.5185185185185185E-3</v>
      </c>
      <c r="N55" s="228">
        <v>6.0995370370370361E-3</v>
      </c>
      <c r="O55" s="228">
        <v>2.5810185185185185E-3</v>
      </c>
      <c r="P55" s="229">
        <v>42991</v>
      </c>
      <c r="Q55" s="226" t="s">
        <v>2224</v>
      </c>
      <c r="R55" s="220"/>
      <c r="S55" s="220"/>
      <c r="T55" s="220"/>
      <c r="U55" s="230"/>
      <c r="V55" s="231"/>
      <c r="W55" s="232"/>
      <c r="X55" s="237"/>
      <c r="Y55" s="234"/>
      <c r="Z55" s="234" t="s">
        <v>570</v>
      </c>
      <c r="AA55" s="82"/>
      <c r="AB55" s="82"/>
      <c r="AC55" s="82"/>
      <c r="AD55" s="82"/>
      <c r="AE55" s="82"/>
      <c r="AF55" s="82"/>
      <c r="AG55" s="82"/>
      <c r="AH55" s="82"/>
      <c r="AI55" s="82"/>
      <c r="AJ55" s="82"/>
      <c r="AK55" s="82"/>
      <c r="AL55" s="82"/>
      <c r="AM55" s="82"/>
      <c r="AN55" s="82"/>
    </row>
    <row r="56" spans="1:40" ht="15.75" thickBot="1">
      <c r="A56" s="225">
        <v>29</v>
      </c>
      <c r="B56" s="216" t="s">
        <v>118</v>
      </c>
      <c r="C56" s="216"/>
      <c r="D56" s="216" t="s">
        <v>120</v>
      </c>
      <c r="E56" s="216" t="s">
        <v>325</v>
      </c>
      <c r="F56" s="226" t="s">
        <v>326</v>
      </c>
      <c r="G56" s="227"/>
      <c r="H56" s="227"/>
      <c r="I56" s="216"/>
      <c r="J56" s="225">
        <v>35000</v>
      </c>
      <c r="K56" s="228">
        <v>7.6851851851851847E-3</v>
      </c>
      <c r="L56" s="225" t="s">
        <v>251</v>
      </c>
      <c r="M56" s="219"/>
      <c r="N56" s="219"/>
      <c r="O56" s="216"/>
      <c r="P56" s="229">
        <v>42992</v>
      </c>
      <c r="Q56" s="216"/>
      <c r="R56" s="220"/>
      <c r="S56" s="220"/>
      <c r="T56" s="220"/>
      <c r="U56" s="230"/>
      <c r="V56" s="231"/>
      <c r="W56" s="232"/>
      <c r="X56" s="233"/>
      <c r="Y56" s="216"/>
      <c r="Z56" s="216"/>
      <c r="AA56" s="82"/>
      <c r="AB56" s="82"/>
      <c r="AC56" s="82"/>
      <c r="AD56" s="82"/>
      <c r="AE56" s="82"/>
      <c r="AF56" s="82"/>
      <c r="AG56" s="82"/>
      <c r="AH56" s="82"/>
      <c r="AI56" s="82"/>
      <c r="AJ56" s="82"/>
      <c r="AK56" s="82"/>
      <c r="AL56" s="82"/>
      <c r="AM56" s="82"/>
      <c r="AN56" s="82"/>
    </row>
    <row r="57" spans="1:40" ht="15.75" thickBot="1">
      <c r="A57" s="225">
        <v>29.01</v>
      </c>
      <c r="B57" s="216" t="s">
        <v>118</v>
      </c>
      <c r="C57" s="216"/>
      <c r="D57" s="216" t="s">
        <v>120</v>
      </c>
      <c r="E57" s="216"/>
      <c r="F57" s="235"/>
      <c r="G57" s="227" t="s">
        <v>368</v>
      </c>
      <c r="H57" s="227" t="s">
        <v>578</v>
      </c>
      <c r="I57" s="216"/>
      <c r="J57" s="216"/>
      <c r="K57" s="219"/>
      <c r="L57" s="225"/>
      <c r="M57" s="228">
        <v>0</v>
      </c>
      <c r="N57" s="228">
        <v>2.4421296296296296E-3</v>
      </c>
      <c r="O57" s="228">
        <v>2.4421296296296296E-3</v>
      </c>
      <c r="P57" s="229">
        <v>42992</v>
      </c>
      <c r="Q57" s="226" t="s">
        <v>2225</v>
      </c>
      <c r="R57" s="220"/>
      <c r="S57" s="220"/>
      <c r="T57" s="220"/>
      <c r="U57" s="230"/>
      <c r="V57" s="231"/>
      <c r="W57" s="232"/>
      <c r="X57" s="233"/>
      <c r="Y57" s="216"/>
      <c r="Z57" s="216"/>
      <c r="AA57" s="82"/>
      <c r="AB57" s="82"/>
      <c r="AC57" s="82"/>
      <c r="AD57" s="82"/>
      <c r="AE57" s="82"/>
      <c r="AF57" s="82"/>
      <c r="AG57" s="82"/>
      <c r="AH57" s="82"/>
      <c r="AI57" s="82"/>
      <c r="AJ57" s="82"/>
      <c r="AK57" s="82"/>
      <c r="AL57" s="82"/>
      <c r="AM57" s="82"/>
      <c r="AN57" s="82"/>
    </row>
    <row r="58" spans="1:40" ht="15.75" thickBot="1">
      <c r="A58" s="225">
        <v>29.02</v>
      </c>
      <c r="B58" s="216" t="s">
        <v>118</v>
      </c>
      <c r="C58" s="216"/>
      <c r="D58" s="216" t="s">
        <v>120</v>
      </c>
      <c r="E58" s="216"/>
      <c r="F58" s="235"/>
      <c r="G58" s="227" t="s">
        <v>518</v>
      </c>
      <c r="H58" s="227" t="s">
        <v>587</v>
      </c>
      <c r="I58" s="216"/>
      <c r="J58" s="216"/>
      <c r="K58" s="219"/>
      <c r="L58" s="225"/>
      <c r="M58" s="228">
        <v>2.4421296296296296E-3</v>
      </c>
      <c r="N58" s="228">
        <v>4.9768518518518521E-3</v>
      </c>
      <c r="O58" s="228">
        <v>2.5347222222222221E-3</v>
      </c>
      <c r="P58" s="239">
        <v>42992</v>
      </c>
      <c r="Q58" s="226" t="s">
        <v>2226</v>
      </c>
      <c r="R58" s="220"/>
      <c r="S58" s="220"/>
      <c r="T58" s="220"/>
      <c r="U58" s="230"/>
      <c r="V58" s="231"/>
      <c r="W58" s="232"/>
      <c r="X58" s="233"/>
      <c r="Y58" s="216"/>
      <c r="Z58" s="216"/>
      <c r="AA58" s="82"/>
      <c r="AB58" s="82"/>
      <c r="AC58" s="82"/>
      <c r="AD58" s="82"/>
      <c r="AE58" s="82"/>
      <c r="AF58" s="82"/>
      <c r="AG58" s="82"/>
      <c r="AH58" s="82"/>
      <c r="AI58" s="82"/>
      <c r="AJ58" s="82"/>
      <c r="AK58" s="82"/>
      <c r="AL58" s="82"/>
      <c r="AM58" s="82"/>
      <c r="AN58" s="82"/>
    </row>
    <row r="59" spans="1:40" ht="15.75" thickBot="1">
      <c r="A59" s="225">
        <v>29.03</v>
      </c>
      <c r="B59" s="216" t="s">
        <v>118</v>
      </c>
      <c r="C59" s="216"/>
      <c r="D59" s="216" t="s">
        <v>120</v>
      </c>
      <c r="E59" s="216"/>
      <c r="F59" s="235"/>
      <c r="G59" s="227" t="s">
        <v>595</v>
      </c>
      <c r="H59" s="227" t="s">
        <v>597</v>
      </c>
      <c r="I59" s="216"/>
      <c r="J59" s="216"/>
      <c r="K59" s="219"/>
      <c r="L59" s="225"/>
      <c r="M59" s="228">
        <v>4.9884259259259265E-3</v>
      </c>
      <c r="N59" s="228">
        <v>6.0185185185185177E-3</v>
      </c>
      <c r="O59" s="228">
        <v>1.0300925925925926E-3</v>
      </c>
      <c r="P59" s="239">
        <v>42992</v>
      </c>
      <c r="Q59" s="226" t="s">
        <v>2227</v>
      </c>
      <c r="R59" s="220"/>
      <c r="S59" s="220"/>
      <c r="T59" s="220"/>
      <c r="U59" s="230"/>
      <c r="V59" s="231"/>
      <c r="W59" s="232"/>
      <c r="X59" s="233"/>
      <c r="Y59" s="216"/>
      <c r="Z59" s="216"/>
      <c r="AA59" s="82"/>
      <c r="AB59" s="82"/>
      <c r="AC59" s="82"/>
      <c r="AD59" s="82"/>
      <c r="AE59" s="82"/>
      <c r="AF59" s="82"/>
      <c r="AG59" s="82"/>
      <c r="AH59" s="82"/>
      <c r="AI59" s="82"/>
      <c r="AJ59" s="82"/>
      <c r="AK59" s="82"/>
      <c r="AL59" s="82"/>
      <c r="AM59" s="82"/>
      <c r="AN59" s="82"/>
    </row>
    <row r="60" spans="1:40" ht="15.75" thickBot="1">
      <c r="A60" s="225">
        <v>29.04</v>
      </c>
      <c r="B60" s="216" t="s">
        <v>118</v>
      </c>
      <c r="C60" s="219"/>
      <c r="D60" s="216" t="s">
        <v>120</v>
      </c>
      <c r="E60" s="216"/>
      <c r="F60" s="235"/>
      <c r="G60" s="227" t="s">
        <v>601</v>
      </c>
      <c r="H60" s="227" t="s">
        <v>2228</v>
      </c>
      <c r="I60" s="216"/>
      <c r="J60" s="216"/>
      <c r="K60" s="219"/>
      <c r="L60" s="225"/>
      <c r="M60" s="228">
        <v>6.2268518518518515E-3</v>
      </c>
      <c r="N60" s="228">
        <v>6.8171296296296287E-3</v>
      </c>
      <c r="O60" s="228">
        <v>5.9027777777777778E-4</v>
      </c>
      <c r="P60" s="239">
        <v>42992</v>
      </c>
      <c r="Q60" s="226" t="s">
        <v>2229</v>
      </c>
      <c r="R60" s="220"/>
      <c r="S60" s="220"/>
      <c r="T60" s="220"/>
      <c r="U60" s="230"/>
      <c r="V60" s="231"/>
      <c r="W60" s="232"/>
      <c r="X60" s="233"/>
      <c r="Y60" s="216"/>
      <c r="Z60" s="216"/>
      <c r="AA60" s="82"/>
      <c r="AB60" s="82"/>
      <c r="AC60" s="82"/>
      <c r="AD60" s="82"/>
      <c r="AE60" s="82"/>
      <c r="AF60" s="82"/>
      <c r="AG60" s="82"/>
      <c r="AH60" s="82"/>
      <c r="AI60" s="82"/>
      <c r="AJ60" s="82"/>
      <c r="AK60" s="82"/>
      <c r="AL60" s="82"/>
      <c r="AM60" s="82"/>
      <c r="AN60" s="82"/>
    </row>
    <row r="61" spans="1:40" ht="15.75" thickBot="1">
      <c r="A61" s="225">
        <v>29.05</v>
      </c>
      <c r="B61" s="216" t="s">
        <v>118</v>
      </c>
      <c r="C61" s="216"/>
      <c r="D61" s="216" t="s">
        <v>120</v>
      </c>
      <c r="E61" s="216"/>
      <c r="F61" s="235"/>
      <c r="G61" s="227" t="s">
        <v>400</v>
      </c>
      <c r="H61" s="227" t="s">
        <v>605</v>
      </c>
      <c r="I61" s="216"/>
      <c r="J61" s="216"/>
      <c r="K61" s="219"/>
      <c r="L61" s="225"/>
      <c r="M61" s="228">
        <v>6.8171296296296287E-3</v>
      </c>
      <c r="N61" s="228">
        <v>7.6736111111111111E-3</v>
      </c>
      <c r="O61" s="228">
        <v>8.564814814814815E-4</v>
      </c>
      <c r="P61" s="239">
        <v>42992</v>
      </c>
      <c r="Q61" s="226" t="s">
        <v>2230</v>
      </c>
      <c r="R61" s="220"/>
      <c r="S61" s="220"/>
      <c r="T61" s="220"/>
      <c r="U61" s="230"/>
      <c r="V61" s="231"/>
      <c r="W61" s="232"/>
      <c r="X61" s="233"/>
      <c r="Y61" s="216"/>
      <c r="Z61" s="216"/>
      <c r="AA61" s="82"/>
      <c r="AB61" s="82"/>
      <c r="AC61" s="82"/>
      <c r="AD61" s="82"/>
      <c r="AE61" s="82"/>
      <c r="AF61" s="82"/>
      <c r="AG61" s="82"/>
      <c r="AH61" s="82"/>
      <c r="AI61" s="82"/>
      <c r="AJ61" s="82"/>
      <c r="AK61" s="82"/>
      <c r="AL61" s="82"/>
      <c r="AM61" s="82"/>
      <c r="AN61" s="82"/>
    </row>
    <row r="62" spans="1:40" ht="15.75" thickBot="1">
      <c r="A62" s="225">
        <v>30</v>
      </c>
      <c r="B62" s="216"/>
      <c r="C62" s="216"/>
      <c r="D62" s="216"/>
      <c r="E62" s="216" t="s">
        <v>332</v>
      </c>
      <c r="F62" s="226" t="s">
        <v>333</v>
      </c>
      <c r="G62" s="227"/>
      <c r="H62" s="227"/>
      <c r="I62" s="216"/>
      <c r="J62" s="225">
        <v>6900</v>
      </c>
      <c r="K62" s="228">
        <v>5.208333333333333E-3</v>
      </c>
      <c r="L62" s="225" t="s">
        <v>251</v>
      </c>
      <c r="M62" s="219"/>
      <c r="N62" s="219"/>
      <c r="O62" s="216"/>
      <c r="P62" s="216"/>
      <c r="Q62" s="216"/>
      <c r="R62" s="220"/>
      <c r="S62" s="220"/>
      <c r="T62" s="220"/>
      <c r="U62" s="230"/>
      <c r="V62" s="231"/>
      <c r="W62" s="232"/>
      <c r="X62" s="233"/>
      <c r="Y62" s="216"/>
      <c r="Z62" s="216"/>
    </row>
    <row r="63" spans="1:40" ht="15.75" thickBot="1">
      <c r="A63" s="225">
        <v>31</v>
      </c>
      <c r="B63" s="216"/>
      <c r="C63" s="219"/>
      <c r="D63" s="216"/>
      <c r="E63" s="216" t="s">
        <v>335</v>
      </c>
      <c r="F63" s="226" t="s">
        <v>336</v>
      </c>
      <c r="G63" s="227"/>
      <c r="H63" s="227"/>
      <c r="I63" s="216"/>
      <c r="J63" s="225">
        <v>645</v>
      </c>
      <c r="K63" s="228">
        <v>4.8611111111111112E-3</v>
      </c>
      <c r="L63" s="225" t="s">
        <v>251</v>
      </c>
      <c r="M63" s="219"/>
      <c r="N63" s="219"/>
      <c r="O63" s="216"/>
      <c r="P63" s="216"/>
      <c r="Q63" s="216"/>
      <c r="R63" s="220"/>
      <c r="S63" s="220"/>
      <c r="T63" s="220"/>
      <c r="U63" s="230"/>
      <c r="V63" s="231"/>
      <c r="W63" s="232"/>
      <c r="X63" s="233"/>
      <c r="Y63" s="216"/>
      <c r="Z63" s="216"/>
    </row>
    <row r="64" spans="1:40" ht="15.75" thickBot="1">
      <c r="A64" s="225">
        <v>32</v>
      </c>
      <c r="B64" s="216"/>
      <c r="C64" s="216"/>
      <c r="D64" s="216"/>
      <c r="E64" s="216" t="s">
        <v>340</v>
      </c>
      <c r="F64" s="226" t="s">
        <v>341</v>
      </c>
      <c r="G64" s="227"/>
      <c r="H64" s="227"/>
      <c r="I64" s="216"/>
      <c r="J64" s="225">
        <v>282</v>
      </c>
      <c r="K64" s="228">
        <v>1.2037037037037038E-3</v>
      </c>
      <c r="L64" s="225" t="s">
        <v>251</v>
      </c>
      <c r="M64" s="219"/>
      <c r="N64" s="219"/>
      <c r="O64" s="216"/>
      <c r="P64" s="216"/>
      <c r="Q64" s="216"/>
      <c r="R64" s="220"/>
      <c r="S64" s="220"/>
      <c r="T64" s="220"/>
      <c r="U64" s="230"/>
      <c r="V64" s="231"/>
      <c r="W64" s="232"/>
      <c r="X64" s="233"/>
      <c r="Y64" s="216"/>
      <c r="Z64" s="216"/>
    </row>
    <row r="65" spans="1:40" ht="15.75" thickBot="1">
      <c r="A65" s="225">
        <v>33</v>
      </c>
      <c r="B65" s="216"/>
      <c r="C65" s="216"/>
      <c r="D65" s="216"/>
      <c r="E65" s="216" t="s">
        <v>346</v>
      </c>
      <c r="F65" s="226" t="s">
        <v>347</v>
      </c>
      <c r="G65" s="227"/>
      <c r="H65" s="227"/>
      <c r="I65" s="216"/>
      <c r="J65" s="225">
        <v>732</v>
      </c>
      <c r="K65" s="228">
        <v>7.3379629629629628E-3</v>
      </c>
      <c r="L65" s="225" t="s">
        <v>251</v>
      </c>
      <c r="M65" s="219"/>
      <c r="N65" s="219"/>
      <c r="O65" s="216"/>
      <c r="P65" s="216"/>
      <c r="Q65" s="216"/>
      <c r="R65" s="220"/>
      <c r="S65" s="220"/>
      <c r="T65" s="220"/>
      <c r="U65" s="230"/>
      <c r="V65" s="231"/>
      <c r="W65" s="232"/>
      <c r="X65" s="233"/>
      <c r="Y65" s="216"/>
      <c r="Z65" s="216"/>
    </row>
    <row r="66" spans="1:40" ht="15.75" thickBot="1">
      <c r="A66" s="225">
        <v>33.01</v>
      </c>
      <c r="B66" s="219" t="s">
        <v>118</v>
      </c>
      <c r="C66" s="216"/>
      <c r="D66" s="219" t="s">
        <v>120</v>
      </c>
      <c r="E66" s="216"/>
      <c r="F66" s="235"/>
      <c r="G66" s="227" t="s">
        <v>629</v>
      </c>
      <c r="H66" s="227" t="s">
        <v>630</v>
      </c>
      <c r="I66" s="216"/>
      <c r="J66" s="216"/>
      <c r="K66" s="219"/>
      <c r="L66" s="225"/>
      <c r="M66" s="228">
        <v>7.7546296296296304E-4</v>
      </c>
      <c r="N66" s="228">
        <v>4.108796296296297E-3</v>
      </c>
      <c r="O66" s="228">
        <v>3.3333333333333335E-3</v>
      </c>
      <c r="P66" s="229">
        <v>43012</v>
      </c>
      <c r="Q66" s="218" t="s">
        <v>2231</v>
      </c>
      <c r="R66" s="220" t="s">
        <v>94</v>
      </c>
      <c r="S66" s="220" t="s">
        <v>94</v>
      </c>
      <c r="T66" s="220" t="s">
        <v>94</v>
      </c>
      <c r="U66" s="230"/>
      <c r="V66" s="231"/>
      <c r="W66" s="232" t="s">
        <v>292</v>
      </c>
      <c r="X66" s="237"/>
      <c r="Y66" s="234"/>
      <c r="Z66" s="234" t="s">
        <v>639</v>
      </c>
      <c r="AA66" s="82"/>
      <c r="AB66" s="82"/>
      <c r="AC66" s="82"/>
      <c r="AD66" s="82"/>
      <c r="AE66" s="82"/>
      <c r="AF66" s="82"/>
      <c r="AG66" s="82"/>
      <c r="AH66" s="51"/>
      <c r="AI66" s="51"/>
      <c r="AJ66" s="51"/>
      <c r="AK66" s="51"/>
      <c r="AL66" s="51"/>
      <c r="AM66" s="51"/>
      <c r="AN66" s="51"/>
    </row>
    <row r="67" spans="1:40" ht="15.75" thickBot="1">
      <c r="A67" s="225">
        <v>33.020000000000003</v>
      </c>
      <c r="B67" s="219" t="s">
        <v>118</v>
      </c>
      <c r="C67" s="216"/>
      <c r="D67" s="219" t="s">
        <v>120</v>
      </c>
      <c r="E67" s="216"/>
      <c r="F67" s="235"/>
      <c r="G67" s="227" t="s">
        <v>643</v>
      </c>
      <c r="H67" s="227" t="s">
        <v>646</v>
      </c>
      <c r="I67" s="216"/>
      <c r="J67" s="216"/>
      <c r="K67" s="219"/>
      <c r="L67" s="225"/>
      <c r="M67" s="228">
        <v>4.108796296296297E-3</v>
      </c>
      <c r="N67" s="228">
        <v>7.3263888888888892E-3</v>
      </c>
      <c r="O67" s="228">
        <v>3.2175925925925926E-3</v>
      </c>
      <c r="P67" s="229">
        <v>43012</v>
      </c>
      <c r="Q67" s="218" t="s">
        <v>2232</v>
      </c>
      <c r="R67" s="220" t="s">
        <v>94</v>
      </c>
      <c r="S67" s="220" t="s">
        <v>94</v>
      </c>
      <c r="T67" s="220" t="s">
        <v>94</v>
      </c>
      <c r="U67" s="230"/>
      <c r="V67" s="231"/>
      <c r="W67" s="232" t="s">
        <v>292</v>
      </c>
      <c r="X67" s="237"/>
      <c r="Y67" s="234"/>
      <c r="Z67" s="234"/>
      <c r="AA67" s="82"/>
      <c r="AB67" s="82"/>
      <c r="AC67" s="82"/>
      <c r="AD67" s="82"/>
      <c r="AE67" s="82"/>
      <c r="AF67" s="82"/>
      <c r="AG67" s="82"/>
      <c r="AH67" s="51"/>
      <c r="AI67" s="51"/>
      <c r="AJ67" s="51"/>
      <c r="AK67" s="51"/>
      <c r="AL67" s="51"/>
      <c r="AM67" s="51"/>
      <c r="AN67" s="51"/>
    </row>
    <row r="68" spans="1:40" ht="15.75" thickBot="1">
      <c r="A68" s="225">
        <v>34</v>
      </c>
      <c r="B68" s="219" t="s">
        <v>118</v>
      </c>
      <c r="C68" s="216"/>
      <c r="D68" s="219" t="s">
        <v>120</v>
      </c>
      <c r="E68" s="216" t="s">
        <v>349</v>
      </c>
      <c r="F68" s="226" t="s">
        <v>350</v>
      </c>
      <c r="G68" s="227"/>
      <c r="H68" s="227"/>
      <c r="I68" s="216"/>
      <c r="J68" s="225">
        <v>459</v>
      </c>
      <c r="K68" s="228">
        <v>7.6388888888888886E-3</v>
      </c>
      <c r="L68" s="225" t="s">
        <v>251</v>
      </c>
      <c r="M68" s="219"/>
      <c r="N68" s="219"/>
      <c r="O68" s="216"/>
      <c r="P68" s="229">
        <v>43012</v>
      </c>
      <c r="Q68" s="216"/>
      <c r="R68" s="220"/>
      <c r="S68" s="220"/>
      <c r="T68" s="220"/>
      <c r="U68" s="230"/>
      <c r="V68" s="231"/>
      <c r="W68" s="232"/>
      <c r="X68" s="233"/>
      <c r="Y68" s="216"/>
      <c r="Z68" s="216"/>
    </row>
    <row r="69" spans="1:40" ht="15.75" thickBot="1">
      <c r="A69" s="225">
        <v>34.01</v>
      </c>
      <c r="B69" s="219" t="s">
        <v>118</v>
      </c>
      <c r="C69" s="216"/>
      <c r="D69" s="219" t="s">
        <v>120</v>
      </c>
      <c r="E69" s="216"/>
      <c r="F69" s="235"/>
      <c r="G69" s="227" t="s">
        <v>654</v>
      </c>
      <c r="H69" s="227" t="s">
        <v>2233</v>
      </c>
      <c r="I69" s="216"/>
      <c r="J69" s="216"/>
      <c r="K69" s="219"/>
      <c r="L69" s="225"/>
      <c r="M69" s="228">
        <v>0</v>
      </c>
      <c r="N69" s="228">
        <v>4.2592592592592595E-3</v>
      </c>
      <c r="O69" s="228">
        <v>4.2592592592592595E-3</v>
      </c>
      <c r="P69" s="229">
        <v>43012</v>
      </c>
      <c r="Q69" s="226" t="s">
        <v>2234</v>
      </c>
      <c r="R69" s="220"/>
      <c r="S69" s="220"/>
      <c r="T69" s="220"/>
      <c r="U69" s="230"/>
      <c r="V69" s="231"/>
      <c r="W69" s="232" t="s">
        <v>292</v>
      </c>
      <c r="X69" s="237"/>
      <c r="Y69" s="234"/>
      <c r="Z69" s="234"/>
      <c r="AA69" s="82"/>
      <c r="AB69" s="82"/>
      <c r="AC69" s="82"/>
      <c r="AD69" s="82"/>
      <c r="AE69" s="82"/>
      <c r="AF69" s="82"/>
      <c r="AG69" s="82"/>
      <c r="AH69" s="51"/>
      <c r="AI69" s="51"/>
      <c r="AJ69" s="51"/>
      <c r="AK69" s="51"/>
      <c r="AL69" s="51"/>
      <c r="AM69" s="51"/>
      <c r="AN69" s="51"/>
    </row>
    <row r="70" spans="1:40" ht="15.75" thickBot="1">
      <c r="A70" s="225">
        <v>34.020000000000003</v>
      </c>
      <c r="B70" s="219" t="s">
        <v>118</v>
      </c>
      <c r="C70" s="216"/>
      <c r="D70" s="219" t="s">
        <v>120</v>
      </c>
      <c r="E70" s="216"/>
      <c r="F70" s="235"/>
      <c r="G70" s="227" t="s">
        <v>658</v>
      </c>
      <c r="H70" s="227" t="s">
        <v>2235</v>
      </c>
      <c r="I70" s="216"/>
      <c r="J70" s="216"/>
      <c r="K70" s="219"/>
      <c r="L70" s="225"/>
      <c r="M70" s="228">
        <v>4.2592592592592595E-3</v>
      </c>
      <c r="N70" s="228">
        <v>6.2731481481481484E-3</v>
      </c>
      <c r="O70" s="228">
        <v>2.0138888888888888E-3</v>
      </c>
      <c r="P70" s="229">
        <v>43012</v>
      </c>
      <c r="Q70" s="226" t="s">
        <v>2236</v>
      </c>
      <c r="R70" s="220"/>
      <c r="S70" s="220"/>
      <c r="T70" s="220"/>
      <c r="U70" s="230"/>
      <c r="V70" s="231"/>
      <c r="W70" s="232" t="s">
        <v>292</v>
      </c>
      <c r="X70" s="237"/>
      <c r="Y70" s="234"/>
      <c r="Z70" s="234"/>
      <c r="AA70" s="82"/>
      <c r="AB70" s="82"/>
      <c r="AC70" s="82"/>
      <c r="AD70" s="82"/>
      <c r="AE70" s="82"/>
      <c r="AF70" s="82"/>
      <c r="AG70" s="82"/>
      <c r="AH70" s="51"/>
      <c r="AI70" s="51"/>
      <c r="AJ70" s="51"/>
      <c r="AK70" s="51"/>
      <c r="AL70" s="51"/>
      <c r="AM70" s="51"/>
      <c r="AN70" s="51"/>
    </row>
    <row r="71" spans="1:40" ht="15.75" thickBot="1">
      <c r="A71" s="225">
        <v>34.03</v>
      </c>
      <c r="B71" s="219" t="s">
        <v>118</v>
      </c>
      <c r="C71" s="216"/>
      <c r="D71" s="219" t="s">
        <v>120</v>
      </c>
      <c r="E71" s="216"/>
      <c r="F71" s="235"/>
      <c r="G71" s="227" t="s">
        <v>2237</v>
      </c>
      <c r="H71" s="227" t="s">
        <v>663</v>
      </c>
      <c r="I71" s="216"/>
      <c r="J71" s="216"/>
      <c r="K71" s="219"/>
      <c r="L71" s="225"/>
      <c r="M71" s="228">
        <v>6.2731481481481484E-3</v>
      </c>
      <c r="N71" s="228">
        <v>7.6273148148148151E-3</v>
      </c>
      <c r="O71" s="228">
        <v>1.3541666666666667E-3</v>
      </c>
      <c r="P71" s="229">
        <v>43012</v>
      </c>
      <c r="Q71" s="226" t="s">
        <v>2238</v>
      </c>
      <c r="R71" s="220"/>
      <c r="S71" s="220"/>
      <c r="T71" s="220"/>
      <c r="U71" s="230"/>
      <c r="V71" s="231"/>
      <c r="W71" s="232" t="s">
        <v>292</v>
      </c>
      <c r="X71" s="237"/>
      <c r="Y71" s="234"/>
      <c r="Z71" s="234"/>
      <c r="AA71" s="82"/>
      <c r="AB71" s="82"/>
      <c r="AC71" s="82"/>
      <c r="AD71" s="82"/>
      <c r="AE71" s="82"/>
      <c r="AF71" s="82"/>
      <c r="AG71" s="82"/>
      <c r="AH71" s="51"/>
      <c r="AI71" s="51"/>
      <c r="AJ71" s="51"/>
      <c r="AK71" s="51"/>
      <c r="AL71" s="51"/>
      <c r="AM71" s="51"/>
      <c r="AN71" s="51"/>
    </row>
    <row r="72" spans="1:40" ht="15.75" thickBot="1">
      <c r="A72" s="225">
        <v>35</v>
      </c>
      <c r="B72" s="219" t="s">
        <v>118</v>
      </c>
      <c r="C72" s="216"/>
      <c r="D72" s="219" t="s">
        <v>120</v>
      </c>
      <c r="E72" s="216" t="s">
        <v>355</v>
      </c>
      <c r="F72" s="226" t="s">
        <v>356</v>
      </c>
      <c r="G72" s="227"/>
      <c r="H72" s="227"/>
      <c r="I72" s="216"/>
      <c r="J72" s="225">
        <v>419</v>
      </c>
      <c r="K72" s="228">
        <v>5.9490740740740745E-3</v>
      </c>
      <c r="L72" s="225" t="s">
        <v>251</v>
      </c>
      <c r="M72" s="219"/>
      <c r="N72" s="219"/>
      <c r="O72" s="216"/>
      <c r="P72" s="229">
        <v>43012</v>
      </c>
      <c r="Q72" s="216"/>
      <c r="R72" s="220"/>
      <c r="S72" s="220"/>
      <c r="T72" s="220"/>
      <c r="U72" s="230"/>
      <c r="V72" s="231"/>
      <c r="W72" s="232"/>
      <c r="X72" s="233"/>
      <c r="Y72" s="216"/>
      <c r="Z72" s="216"/>
    </row>
    <row r="73" spans="1:40" ht="15.75" thickBot="1">
      <c r="A73" s="225">
        <v>35.01</v>
      </c>
      <c r="B73" s="219" t="s">
        <v>118</v>
      </c>
      <c r="C73" s="216"/>
      <c r="D73" s="219" t="s">
        <v>120</v>
      </c>
      <c r="E73" s="216"/>
      <c r="F73" s="235"/>
      <c r="G73" s="227" t="s">
        <v>667</v>
      </c>
      <c r="H73" s="227" t="s">
        <v>669</v>
      </c>
      <c r="I73" s="216"/>
      <c r="J73" s="216"/>
      <c r="K73" s="219"/>
      <c r="L73" s="225"/>
      <c r="M73" s="228">
        <v>0</v>
      </c>
      <c r="N73" s="228">
        <v>4.0162037037037033E-3</v>
      </c>
      <c r="O73" s="228">
        <v>4.0162037037037033E-3</v>
      </c>
      <c r="P73" s="229">
        <v>43012</v>
      </c>
      <c r="Q73" s="226" t="s">
        <v>2239</v>
      </c>
      <c r="R73" s="220"/>
      <c r="S73" s="220"/>
      <c r="T73" s="220"/>
      <c r="U73" s="230"/>
      <c r="V73" s="231"/>
      <c r="W73" s="232" t="s">
        <v>292</v>
      </c>
      <c r="X73" s="233"/>
      <c r="Y73" s="216"/>
      <c r="Z73" s="216"/>
      <c r="AA73" s="82"/>
      <c r="AB73" s="82"/>
      <c r="AC73" s="82"/>
      <c r="AD73" s="82"/>
      <c r="AE73" s="82"/>
      <c r="AF73" s="82"/>
      <c r="AG73" s="82"/>
      <c r="AH73" s="51"/>
      <c r="AI73" s="51"/>
      <c r="AJ73" s="51"/>
      <c r="AK73" s="51"/>
      <c r="AL73" s="51"/>
      <c r="AM73" s="51"/>
      <c r="AN73" s="51"/>
    </row>
    <row r="74" spans="1:40" ht="15.75" thickBot="1">
      <c r="A74" s="225">
        <v>35.020000000000003</v>
      </c>
      <c r="B74" s="219" t="s">
        <v>118</v>
      </c>
      <c r="C74" s="216"/>
      <c r="D74" s="219" t="s">
        <v>120</v>
      </c>
      <c r="E74" s="216"/>
      <c r="F74" s="235"/>
      <c r="G74" s="227" t="s">
        <v>672</v>
      </c>
      <c r="H74" s="227" t="s">
        <v>673</v>
      </c>
      <c r="I74" s="216"/>
      <c r="J74" s="216"/>
      <c r="K74" s="219"/>
      <c r="L74" s="225"/>
      <c r="M74" s="228">
        <v>4.0162037037037033E-3</v>
      </c>
      <c r="N74" s="228">
        <v>5.9490740740740745E-3</v>
      </c>
      <c r="O74" s="228">
        <v>1.9328703703703704E-3</v>
      </c>
      <c r="P74" s="229">
        <v>43012</v>
      </c>
      <c r="Q74" s="226" t="s">
        <v>2240</v>
      </c>
      <c r="R74" s="220"/>
      <c r="S74" s="220"/>
      <c r="T74" s="220"/>
      <c r="U74" s="230"/>
      <c r="V74" s="231"/>
      <c r="W74" s="232" t="s">
        <v>292</v>
      </c>
      <c r="X74" s="233"/>
      <c r="Y74" s="216"/>
      <c r="Z74" s="216"/>
      <c r="AA74" s="82"/>
      <c r="AB74" s="82"/>
      <c r="AC74" s="82"/>
      <c r="AD74" s="82"/>
      <c r="AE74" s="82"/>
      <c r="AF74" s="82"/>
      <c r="AG74" s="82"/>
      <c r="AH74" s="51"/>
      <c r="AI74" s="51"/>
      <c r="AJ74" s="51"/>
      <c r="AK74" s="51"/>
      <c r="AL74" s="51"/>
      <c r="AM74" s="51"/>
      <c r="AN74" s="51"/>
    </row>
    <row r="75" spans="1:40" ht="15.75" thickBot="1">
      <c r="A75" s="225">
        <v>36</v>
      </c>
      <c r="B75" s="219" t="s">
        <v>118</v>
      </c>
      <c r="C75" s="216"/>
      <c r="D75" s="219" t="s">
        <v>120</v>
      </c>
      <c r="E75" s="216" t="s">
        <v>358</v>
      </c>
      <c r="F75" s="226" t="s">
        <v>359</v>
      </c>
      <c r="G75" s="227"/>
      <c r="H75" s="227"/>
      <c r="I75" s="216"/>
      <c r="J75" s="225">
        <v>755</v>
      </c>
      <c r="K75" s="228">
        <v>8.3449074074074085E-3</v>
      </c>
      <c r="L75" s="225" t="s">
        <v>251</v>
      </c>
      <c r="M75" s="219"/>
      <c r="N75" s="219"/>
      <c r="O75" s="216"/>
      <c r="P75" s="239">
        <v>43013</v>
      </c>
      <c r="Q75" s="216"/>
      <c r="R75" s="220"/>
      <c r="S75" s="220"/>
      <c r="T75" s="220"/>
      <c r="U75" s="230"/>
      <c r="V75" s="231"/>
      <c r="W75" s="232"/>
      <c r="X75" s="233"/>
      <c r="Y75" s="216"/>
      <c r="Z75" s="216"/>
    </row>
    <row r="76" spans="1:40" ht="15.75" thickBot="1">
      <c r="A76" s="225">
        <v>36.01</v>
      </c>
      <c r="B76" s="219" t="s">
        <v>118</v>
      </c>
      <c r="C76" s="216"/>
      <c r="D76" s="219" t="s">
        <v>120</v>
      </c>
      <c r="E76" s="216"/>
      <c r="F76" s="235"/>
      <c r="G76" s="227" t="s">
        <v>685</v>
      </c>
      <c r="H76" s="227" t="s">
        <v>686</v>
      </c>
      <c r="I76" s="216"/>
      <c r="J76" s="216"/>
      <c r="K76" s="219"/>
      <c r="L76" s="225"/>
      <c r="M76" s="228">
        <v>3.5879629629629635E-4</v>
      </c>
      <c r="N76" s="228">
        <v>3.5416666666666665E-3</v>
      </c>
      <c r="O76" s="228">
        <v>3.1828703703703702E-3</v>
      </c>
      <c r="P76" s="239">
        <v>43013</v>
      </c>
      <c r="Q76" s="218" t="s">
        <v>2241</v>
      </c>
      <c r="R76" s="220" t="s">
        <v>117</v>
      </c>
      <c r="S76" s="220" t="s">
        <v>94</v>
      </c>
      <c r="T76" s="220" t="s">
        <v>94</v>
      </c>
      <c r="U76" s="230"/>
      <c r="V76" s="231"/>
      <c r="W76" s="232" t="s">
        <v>292</v>
      </c>
      <c r="X76" s="233"/>
      <c r="Y76" s="216"/>
      <c r="Z76" s="234" t="s">
        <v>688</v>
      </c>
      <c r="AA76" s="82"/>
      <c r="AB76" s="82"/>
      <c r="AC76" s="82"/>
      <c r="AD76" s="82"/>
      <c r="AE76" s="82"/>
      <c r="AF76" s="82"/>
      <c r="AG76" s="82"/>
      <c r="AH76" s="51"/>
      <c r="AI76" s="51"/>
      <c r="AJ76" s="51"/>
      <c r="AK76" s="51"/>
      <c r="AL76" s="51"/>
      <c r="AM76" s="51"/>
      <c r="AN76" s="51"/>
    </row>
    <row r="77" spans="1:40" ht="15.75" thickBot="1">
      <c r="A77" s="225">
        <v>36.020000000000003</v>
      </c>
      <c r="B77" s="219" t="s">
        <v>118</v>
      </c>
      <c r="C77" s="219"/>
      <c r="D77" s="219" t="s">
        <v>120</v>
      </c>
      <c r="E77" s="216"/>
      <c r="F77" s="235"/>
      <c r="G77" s="227" t="s">
        <v>693</v>
      </c>
      <c r="H77" s="227" t="s">
        <v>694</v>
      </c>
      <c r="I77" s="216"/>
      <c r="J77" s="216"/>
      <c r="K77" s="219"/>
      <c r="L77" s="225"/>
      <c r="M77" s="228">
        <v>3.5532407407407405E-3</v>
      </c>
      <c r="N77" s="228">
        <v>4.5717592592592589E-3</v>
      </c>
      <c r="O77" s="228">
        <v>1.0185185185185186E-3</v>
      </c>
      <c r="P77" s="239">
        <v>43013</v>
      </c>
      <c r="Q77" s="218" t="s">
        <v>2242</v>
      </c>
      <c r="R77" s="220" t="s">
        <v>94</v>
      </c>
      <c r="S77" s="220" t="s">
        <v>94</v>
      </c>
      <c r="T77" s="220" t="s">
        <v>94</v>
      </c>
      <c r="U77" s="230"/>
      <c r="V77" s="231"/>
      <c r="W77" s="232" t="s">
        <v>292</v>
      </c>
      <c r="X77" s="233"/>
      <c r="Y77" s="216"/>
      <c r="Z77" s="216"/>
      <c r="AA77" s="82"/>
      <c r="AB77" s="82"/>
      <c r="AC77" s="82"/>
      <c r="AD77" s="82"/>
      <c r="AE77" s="82"/>
      <c r="AF77" s="82"/>
      <c r="AG77" s="82"/>
      <c r="AH77" s="51"/>
      <c r="AI77" s="51"/>
      <c r="AJ77" s="51"/>
      <c r="AK77" s="51"/>
      <c r="AL77" s="51"/>
      <c r="AM77" s="51"/>
      <c r="AN77" s="51"/>
    </row>
    <row r="78" spans="1:40" ht="15.75" thickBot="1">
      <c r="A78" s="225">
        <v>36.03</v>
      </c>
      <c r="B78" s="219" t="s">
        <v>118</v>
      </c>
      <c r="C78" s="216"/>
      <c r="D78" s="219" t="s">
        <v>120</v>
      </c>
      <c r="E78" s="216"/>
      <c r="F78" s="235"/>
      <c r="G78" s="227" t="s">
        <v>2243</v>
      </c>
      <c r="H78" s="227" t="s">
        <v>699</v>
      </c>
      <c r="I78" s="216"/>
      <c r="J78" s="216"/>
      <c r="K78" s="219"/>
      <c r="L78" s="225"/>
      <c r="M78" s="228">
        <v>4.5717592592592589E-3</v>
      </c>
      <c r="N78" s="228">
        <v>6.1111111111111114E-3</v>
      </c>
      <c r="O78" s="228">
        <v>1.5393518518518519E-3</v>
      </c>
      <c r="P78" s="239">
        <v>43013</v>
      </c>
      <c r="Q78" s="218" t="s">
        <v>2244</v>
      </c>
      <c r="R78" s="220" t="s">
        <v>94</v>
      </c>
      <c r="S78" s="220" t="s">
        <v>94</v>
      </c>
      <c r="T78" s="220" t="s">
        <v>94</v>
      </c>
      <c r="U78" s="230"/>
      <c r="V78" s="231"/>
      <c r="W78" s="232" t="s">
        <v>292</v>
      </c>
      <c r="X78" s="233"/>
      <c r="Y78" s="216"/>
      <c r="Z78" s="219" t="s">
        <v>703</v>
      </c>
      <c r="AA78" s="82"/>
      <c r="AB78" s="82"/>
      <c r="AC78" s="82"/>
      <c r="AD78" s="82"/>
      <c r="AE78" s="82"/>
      <c r="AF78" s="82"/>
      <c r="AG78" s="82"/>
      <c r="AH78" s="51"/>
      <c r="AI78" s="51"/>
      <c r="AJ78" s="51"/>
      <c r="AK78" s="51"/>
      <c r="AL78" s="51"/>
      <c r="AM78" s="51"/>
      <c r="AN78" s="51"/>
    </row>
    <row r="79" spans="1:40" ht="15.75" thickBot="1">
      <c r="A79" s="225">
        <v>36.04</v>
      </c>
      <c r="B79" s="219" t="s">
        <v>118</v>
      </c>
      <c r="C79" s="216"/>
      <c r="D79" s="219" t="s">
        <v>120</v>
      </c>
      <c r="E79" s="216"/>
      <c r="F79" s="235"/>
      <c r="G79" s="227" t="s">
        <v>706</v>
      </c>
      <c r="H79" s="227" t="s">
        <v>707</v>
      </c>
      <c r="I79" s="216"/>
      <c r="J79" s="216"/>
      <c r="K79" s="219"/>
      <c r="L79" s="225"/>
      <c r="M79" s="228">
        <v>6.1111111111111114E-3</v>
      </c>
      <c r="N79" s="228">
        <v>7.8125E-3</v>
      </c>
      <c r="O79" s="228">
        <v>1.7013888888888892E-3</v>
      </c>
      <c r="P79" s="239">
        <v>43013</v>
      </c>
      <c r="Q79" s="218" t="s">
        <v>2245</v>
      </c>
      <c r="R79" s="220" t="s">
        <v>94</v>
      </c>
      <c r="S79" s="220" t="s">
        <v>94</v>
      </c>
      <c r="T79" s="220" t="s">
        <v>94</v>
      </c>
      <c r="U79" s="230"/>
      <c r="V79" s="231"/>
      <c r="W79" s="232" t="s">
        <v>292</v>
      </c>
      <c r="X79" s="233"/>
      <c r="Y79" s="216"/>
      <c r="Z79" s="219" t="s">
        <v>703</v>
      </c>
      <c r="AH79" s="51"/>
      <c r="AI79" s="51"/>
      <c r="AJ79" s="51"/>
      <c r="AK79" s="51"/>
      <c r="AL79" s="51"/>
      <c r="AM79" s="51"/>
      <c r="AN79" s="51"/>
    </row>
    <row r="80" spans="1:40" ht="15.75" thickBot="1">
      <c r="A80" s="225">
        <v>37</v>
      </c>
      <c r="B80" s="219" t="s">
        <v>118</v>
      </c>
      <c r="C80" s="216"/>
      <c r="D80" s="219" t="s">
        <v>120</v>
      </c>
      <c r="E80" s="216" t="s">
        <v>360</v>
      </c>
      <c r="F80" s="226" t="s">
        <v>361</v>
      </c>
      <c r="G80" s="227"/>
      <c r="H80" s="227"/>
      <c r="I80" s="216"/>
      <c r="J80" s="225">
        <v>773</v>
      </c>
      <c r="K80" s="228">
        <v>9.5486111111111101E-3</v>
      </c>
      <c r="L80" s="225" t="s">
        <v>251</v>
      </c>
      <c r="M80" s="219"/>
      <c r="N80" s="219"/>
      <c r="O80" s="216"/>
      <c r="P80" s="239">
        <v>43013</v>
      </c>
      <c r="Q80" s="216"/>
      <c r="R80" s="220"/>
      <c r="S80" s="220"/>
      <c r="T80" s="220"/>
      <c r="U80" s="230"/>
      <c r="V80" s="231"/>
      <c r="W80" s="232"/>
      <c r="X80" s="233"/>
      <c r="Y80" s="216"/>
      <c r="Z80" s="216"/>
    </row>
    <row r="81" spans="1:40" ht="15.75" thickBot="1">
      <c r="A81" s="225">
        <v>37.01</v>
      </c>
      <c r="B81" s="219" t="s">
        <v>118</v>
      </c>
      <c r="C81" s="216"/>
      <c r="D81" s="219" t="s">
        <v>120</v>
      </c>
      <c r="E81" s="216"/>
      <c r="F81" s="235"/>
      <c r="G81" s="227" t="s">
        <v>714</v>
      </c>
      <c r="H81" s="227" t="s">
        <v>715</v>
      </c>
      <c r="I81" s="216"/>
      <c r="J81" s="216"/>
      <c r="K81" s="219"/>
      <c r="L81" s="225"/>
      <c r="M81" s="228">
        <v>0</v>
      </c>
      <c r="N81" s="228">
        <v>3.6805555555555554E-3</v>
      </c>
      <c r="O81" s="228">
        <v>3.6805555555555554E-3</v>
      </c>
      <c r="P81" s="239">
        <v>43013</v>
      </c>
      <c r="Q81" s="218" t="s">
        <v>2246</v>
      </c>
      <c r="R81" s="220" t="s">
        <v>94</v>
      </c>
      <c r="S81" s="220" t="s">
        <v>94</v>
      </c>
      <c r="T81" s="220" t="s">
        <v>94</v>
      </c>
      <c r="U81" s="230"/>
      <c r="V81" s="231"/>
      <c r="W81" s="232" t="s">
        <v>292</v>
      </c>
      <c r="X81" s="233"/>
      <c r="Y81" s="216"/>
      <c r="Z81" s="216"/>
      <c r="AA81" s="51"/>
      <c r="AB81" s="51"/>
      <c r="AH81" s="51"/>
      <c r="AI81" s="51"/>
      <c r="AJ81" s="51"/>
      <c r="AK81" s="51"/>
      <c r="AL81" s="51"/>
      <c r="AM81" s="51"/>
      <c r="AN81" s="51"/>
    </row>
    <row r="82" spans="1:40" ht="15.75" thickBot="1">
      <c r="A82" s="225">
        <v>37.020000000000003</v>
      </c>
      <c r="B82" s="219" t="s">
        <v>118</v>
      </c>
      <c r="C82" s="216"/>
      <c r="D82" s="219" t="s">
        <v>120</v>
      </c>
      <c r="E82" s="216"/>
      <c r="F82" s="235"/>
      <c r="G82" s="227" t="s">
        <v>724</v>
      </c>
      <c r="H82" s="227" t="s">
        <v>725</v>
      </c>
      <c r="I82" s="216"/>
      <c r="J82" s="216"/>
      <c r="K82" s="219"/>
      <c r="L82" s="225"/>
      <c r="M82" s="228">
        <v>3.6805555555555554E-3</v>
      </c>
      <c r="N82" s="228">
        <v>5.0694444444444441E-3</v>
      </c>
      <c r="O82" s="228">
        <v>1.3888888888888889E-3</v>
      </c>
      <c r="P82" s="239">
        <v>43013</v>
      </c>
      <c r="Q82" s="218" t="s">
        <v>2247</v>
      </c>
      <c r="R82" s="220" t="s">
        <v>117</v>
      </c>
      <c r="S82" s="220" t="s">
        <v>94</v>
      </c>
      <c r="T82" s="220" t="s">
        <v>94</v>
      </c>
      <c r="U82" s="230"/>
      <c r="V82" s="231"/>
      <c r="W82" s="232" t="s">
        <v>292</v>
      </c>
      <c r="X82" s="233"/>
      <c r="Y82" s="216"/>
      <c r="Z82" s="238" t="s">
        <v>726</v>
      </c>
      <c r="AA82" s="51"/>
      <c r="AB82" s="51"/>
      <c r="AH82" s="51"/>
      <c r="AI82" s="51"/>
      <c r="AJ82" s="51"/>
      <c r="AK82" s="51"/>
      <c r="AL82" s="51"/>
      <c r="AM82" s="51"/>
      <c r="AN82" s="51"/>
    </row>
    <row r="83" spans="1:40" ht="15.75" thickBot="1">
      <c r="A83" s="225">
        <v>37.03</v>
      </c>
      <c r="B83" s="219" t="s">
        <v>118</v>
      </c>
      <c r="C83" s="216"/>
      <c r="D83" s="219" t="s">
        <v>120</v>
      </c>
      <c r="E83" s="216"/>
      <c r="F83" s="235"/>
      <c r="G83" s="227" t="s">
        <v>729</v>
      </c>
      <c r="H83" s="227" t="s">
        <v>2248</v>
      </c>
      <c r="I83" s="216"/>
      <c r="J83" s="216"/>
      <c r="K83" s="219"/>
      <c r="L83" s="225"/>
      <c r="M83" s="228">
        <v>5.0925925925925921E-3</v>
      </c>
      <c r="N83" s="228">
        <v>9.5370370370370366E-3</v>
      </c>
      <c r="O83" s="228">
        <v>4.4444444444444444E-3</v>
      </c>
      <c r="P83" s="239">
        <v>43013</v>
      </c>
      <c r="Q83" s="226" t="s">
        <v>2249</v>
      </c>
      <c r="R83" s="240"/>
      <c r="S83" s="240"/>
      <c r="T83" s="240"/>
      <c r="U83" s="230"/>
      <c r="V83" s="231"/>
      <c r="W83" s="232" t="s">
        <v>292</v>
      </c>
      <c r="X83" s="233"/>
      <c r="Y83" s="216"/>
      <c r="Z83" s="219" t="s">
        <v>734</v>
      </c>
      <c r="AA83" s="51"/>
      <c r="AB83" s="51"/>
      <c r="AH83" s="51"/>
      <c r="AI83" s="51"/>
      <c r="AJ83" s="51"/>
      <c r="AK83" s="51"/>
      <c r="AL83" s="51"/>
      <c r="AM83" s="51"/>
      <c r="AN83" s="51"/>
    </row>
    <row r="84" spans="1:40" ht="15.75" thickBot="1">
      <c r="A84" s="225">
        <v>38</v>
      </c>
      <c r="B84" s="219" t="s">
        <v>118</v>
      </c>
      <c r="C84" s="216"/>
      <c r="D84" s="219" t="s">
        <v>128</v>
      </c>
      <c r="E84" s="216" t="s">
        <v>364</v>
      </c>
      <c r="F84" s="226" t="s">
        <v>365</v>
      </c>
      <c r="G84" s="227"/>
      <c r="H84" s="227"/>
      <c r="I84" s="216"/>
      <c r="J84" s="225">
        <v>427</v>
      </c>
      <c r="K84" s="228">
        <v>3.3564814814814811E-3</v>
      </c>
      <c r="L84" s="225" t="s">
        <v>251</v>
      </c>
      <c r="M84" s="219"/>
      <c r="N84" s="219"/>
      <c r="O84" s="216"/>
      <c r="P84" s="239">
        <v>43014</v>
      </c>
      <c r="Q84" s="216"/>
      <c r="R84" s="220"/>
      <c r="S84" s="220"/>
      <c r="T84" s="220"/>
      <c r="U84" s="230"/>
      <c r="V84" s="231"/>
      <c r="W84" s="232"/>
      <c r="X84" s="233"/>
      <c r="Y84" s="216"/>
      <c r="Z84" s="216"/>
    </row>
    <row r="85" spans="1:40" ht="15.75" thickBot="1">
      <c r="A85" s="225">
        <v>39</v>
      </c>
      <c r="B85" s="216"/>
      <c r="C85" s="216"/>
      <c r="D85" s="216"/>
      <c r="E85" s="216" t="s">
        <v>366</v>
      </c>
      <c r="F85" s="226" t="s">
        <v>367</v>
      </c>
      <c r="G85" s="227"/>
      <c r="H85" s="227"/>
      <c r="I85" s="216"/>
      <c r="J85" s="225">
        <v>5900</v>
      </c>
      <c r="K85" s="228">
        <v>6.5740740740740733E-3</v>
      </c>
      <c r="L85" s="225" t="s">
        <v>251</v>
      </c>
      <c r="M85" s="219"/>
      <c r="N85" s="219"/>
      <c r="O85" s="216"/>
      <c r="P85" s="216"/>
      <c r="Q85" s="216"/>
      <c r="R85" s="220"/>
      <c r="S85" s="220"/>
      <c r="T85" s="220"/>
      <c r="U85" s="230"/>
      <c r="V85" s="231"/>
      <c r="W85" s="232"/>
      <c r="X85" s="233"/>
      <c r="Y85" s="216"/>
      <c r="Z85" s="216"/>
    </row>
    <row r="86" spans="1:40" ht="15.75" thickBot="1">
      <c r="A86" s="225">
        <v>40</v>
      </c>
      <c r="B86" s="220" t="s">
        <v>122</v>
      </c>
      <c r="C86" s="230"/>
      <c r="D86" s="219" t="s">
        <v>120</v>
      </c>
      <c r="E86" s="216" t="s">
        <v>371</v>
      </c>
      <c r="F86" s="226" t="s">
        <v>373</v>
      </c>
      <c r="G86" s="227"/>
      <c r="H86" s="227"/>
      <c r="I86" s="216"/>
      <c r="J86" s="225">
        <v>3000</v>
      </c>
      <c r="K86" s="228">
        <v>3.1944444444444442E-3</v>
      </c>
      <c r="L86" s="225" t="s">
        <v>251</v>
      </c>
      <c r="M86" s="219"/>
      <c r="N86" s="219"/>
      <c r="O86" s="216"/>
      <c r="P86" s="229">
        <v>43015</v>
      </c>
      <c r="Q86" s="216"/>
      <c r="R86" s="220"/>
      <c r="S86" s="220"/>
      <c r="T86" s="220"/>
      <c r="U86" s="230"/>
      <c r="V86" s="231"/>
      <c r="W86" s="232"/>
      <c r="X86" s="233"/>
      <c r="Y86" s="216"/>
      <c r="Z86" s="216"/>
    </row>
    <row r="87" spans="1:40" ht="15.75" thickBot="1">
      <c r="A87" s="225">
        <v>40.01</v>
      </c>
      <c r="B87" s="220" t="s">
        <v>122</v>
      </c>
      <c r="C87" s="230"/>
      <c r="D87" s="219" t="s">
        <v>120</v>
      </c>
      <c r="E87" s="216"/>
      <c r="F87" s="235"/>
      <c r="G87" s="227" t="s">
        <v>746</v>
      </c>
      <c r="H87" s="227" t="s">
        <v>747</v>
      </c>
      <c r="I87" s="216"/>
      <c r="J87" s="216"/>
      <c r="K87" s="219"/>
      <c r="L87" s="225"/>
      <c r="M87" s="228">
        <v>0</v>
      </c>
      <c r="N87" s="228">
        <v>3.1944444444444442E-3</v>
      </c>
      <c r="O87" s="228">
        <v>3.1944444444444442E-3</v>
      </c>
      <c r="P87" s="229">
        <v>43015</v>
      </c>
      <c r="Q87" s="218" t="s">
        <v>2250</v>
      </c>
      <c r="R87" s="220" t="s">
        <v>94</v>
      </c>
      <c r="S87" s="220" t="s">
        <v>116</v>
      </c>
      <c r="T87" s="220" t="s">
        <v>94</v>
      </c>
      <c r="U87" s="230"/>
      <c r="V87" s="231"/>
      <c r="W87" s="232" t="s">
        <v>292</v>
      </c>
      <c r="X87" s="233"/>
      <c r="Y87" s="216"/>
      <c r="Z87" s="219" t="s">
        <v>750</v>
      </c>
      <c r="AA87" s="51"/>
      <c r="AB87" s="51"/>
      <c r="AH87" s="51"/>
      <c r="AI87" s="51"/>
    </row>
    <row r="88" spans="1:40" ht="15.75" thickBot="1">
      <c r="A88" s="225">
        <v>41</v>
      </c>
      <c r="B88" s="220" t="s">
        <v>122</v>
      </c>
      <c r="C88" s="230"/>
      <c r="D88" s="219" t="s">
        <v>120</v>
      </c>
      <c r="E88" s="216" t="s">
        <v>375</v>
      </c>
      <c r="F88" s="226" t="s">
        <v>377</v>
      </c>
      <c r="G88" s="227"/>
      <c r="H88" s="227"/>
      <c r="I88" s="216"/>
      <c r="J88" s="225">
        <v>3300</v>
      </c>
      <c r="K88" s="228">
        <v>8.8657407407407417E-3</v>
      </c>
      <c r="L88" s="225" t="s">
        <v>251</v>
      </c>
      <c r="M88" s="219"/>
      <c r="N88" s="219"/>
      <c r="O88" s="216"/>
      <c r="P88" s="229">
        <v>43015</v>
      </c>
      <c r="Q88" s="216"/>
      <c r="R88" s="220"/>
      <c r="S88" s="220"/>
      <c r="T88" s="220"/>
      <c r="U88" s="230"/>
      <c r="V88" s="231"/>
      <c r="W88" s="232"/>
      <c r="X88" s="233"/>
      <c r="Y88" s="216"/>
      <c r="Z88" s="216"/>
    </row>
    <row r="89" spans="1:40" ht="15.75" thickBot="1">
      <c r="A89" s="225">
        <v>41.01</v>
      </c>
      <c r="B89" s="220" t="s">
        <v>122</v>
      </c>
      <c r="C89" s="230"/>
      <c r="D89" s="219" t="s">
        <v>120</v>
      </c>
      <c r="E89" s="216"/>
      <c r="F89" s="235"/>
      <c r="G89" s="227" t="s">
        <v>2251</v>
      </c>
      <c r="H89" s="227" t="s">
        <v>754</v>
      </c>
      <c r="I89" s="216"/>
      <c r="J89" s="216"/>
      <c r="K89" s="219"/>
      <c r="L89" s="225"/>
      <c r="M89" s="228">
        <v>9.9537037037037042E-4</v>
      </c>
      <c r="N89" s="228">
        <v>2.1759259259259258E-3</v>
      </c>
      <c r="O89" s="228">
        <v>1.1805555555555556E-3</v>
      </c>
      <c r="P89" s="229">
        <v>43015</v>
      </c>
      <c r="Q89" s="218" t="s">
        <v>2252</v>
      </c>
      <c r="R89" s="220" t="s">
        <v>94</v>
      </c>
      <c r="S89" s="220" t="s">
        <v>94</v>
      </c>
      <c r="T89" s="220" t="s">
        <v>94</v>
      </c>
      <c r="U89" s="230"/>
      <c r="V89" s="231"/>
      <c r="W89" s="232" t="s">
        <v>292</v>
      </c>
      <c r="X89" s="233"/>
      <c r="Y89" s="216"/>
      <c r="Z89" s="216"/>
      <c r="AA89" s="51"/>
      <c r="AB89" s="51"/>
      <c r="AH89" s="54"/>
      <c r="AI89" s="54"/>
    </row>
    <row r="90" spans="1:40" ht="15.75" thickBot="1">
      <c r="A90" s="225">
        <v>41.02</v>
      </c>
      <c r="B90" s="220" t="s">
        <v>122</v>
      </c>
      <c r="C90" s="230"/>
      <c r="D90" s="219" t="s">
        <v>120</v>
      </c>
      <c r="E90" s="216"/>
      <c r="F90" s="235"/>
      <c r="G90" s="227" t="s">
        <v>757</v>
      </c>
      <c r="H90" s="227" t="s">
        <v>758</v>
      </c>
      <c r="I90" s="216"/>
      <c r="J90" s="216"/>
      <c r="K90" s="219"/>
      <c r="L90" s="225"/>
      <c r="M90" s="228">
        <v>2.1874999999999998E-3</v>
      </c>
      <c r="N90" s="228">
        <v>3.645833333333333E-3</v>
      </c>
      <c r="O90" s="228">
        <v>1.4583333333333334E-3</v>
      </c>
      <c r="P90" s="229">
        <v>43015</v>
      </c>
      <c r="Q90" s="218" t="s">
        <v>2253</v>
      </c>
      <c r="R90" s="220" t="s">
        <v>94</v>
      </c>
      <c r="S90" s="220" t="s">
        <v>94</v>
      </c>
      <c r="T90" s="220" t="s">
        <v>94</v>
      </c>
      <c r="U90" s="230"/>
      <c r="V90" s="231"/>
      <c r="W90" s="232" t="s">
        <v>292</v>
      </c>
      <c r="X90" s="233"/>
      <c r="Y90" s="216"/>
      <c r="Z90" s="219" t="s">
        <v>759</v>
      </c>
      <c r="AA90" s="51"/>
      <c r="AB90" s="51"/>
      <c r="AH90" s="54"/>
      <c r="AI90" s="54"/>
    </row>
    <row r="91" spans="1:40" ht="15.75" thickBot="1">
      <c r="A91" s="225">
        <v>41.03</v>
      </c>
      <c r="B91" s="220" t="s">
        <v>122</v>
      </c>
      <c r="C91" s="230"/>
      <c r="D91" s="219" t="s">
        <v>120</v>
      </c>
      <c r="E91" s="216"/>
      <c r="F91" s="235"/>
      <c r="G91" s="227" t="s">
        <v>760</v>
      </c>
      <c r="H91" s="227" t="s">
        <v>761</v>
      </c>
      <c r="I91" s="216"/>
      <c r="J91" s="216"/>
      <c r="K91" s="219"/>
      <c r="L91" s="225"/>
      <c r="M91" s="228">
        <v>3.6574074074074074E-3</v>
      </c>
      <c r="N91" s="228">
        <v>5.5092592592592589E-3</v>
      </c>
      <c r="O91" s="228">
        <v>1.8518518518518517E-3</v>
      </c>
      <c r="P91" s="229">
        <v>43015</v>
      </c>
      <c r="Q91" s="218" t="s">
        <v>2254</v>
      </c>
      <c r="R91" s="220" t="s">
        <v>94</v>
      </c>
      <c r="S91" s="220" t="s">
        <v>94</v>
      </c>
      <c r="T91" s="220" t="s">
        <v>94</v>
      </c>
      <c r="U91" s="230"/>
      <c r="V91" s="231"/>
      <c r="W91" s="232" t="s">
        <v>292</v>
      </c>
      <c r="X91" s="233"/>
      <c r="Y91" s="216"/>
      <c r="Z91" s="219" t="s">
        <v>759</v>
      </c>
      <c r="AA91" s="51"/>
      <c r="AB91" s="51"/>
      <c r="AH91" s="54"/>
      <c r="AI91" s="54"/>
    </row>
    <row r="92" spans="1:40" ht="15.75" thickBot="1">
      <c r="A92" s="225">
        <v>41.04</v>
      </c>
      <c r="B92" s="220" t="s">
        <v>122</v>
      </c>
      <c r="C92" s="230"/>
      <c r="D92" s="219" t="s">
        <v>120</v>
      </c>
      <c r="E92" s="216"/>
      <c r="F92" s="235"/>
      <c r="G92" s="227" t="s">
        <v>764</v>
      </c>
      <c r="H92" s="227" t="s">
        <v>765</v>
      </c>
      <c r="I92" s="216"/>
      <c r="J92" s="216"/>
      <c r="K92" s="219"/>
      <c r="L92" s="225"/>
      <c r="M92" s="228">
        <v>5.5208333333333333E-3</v>
      </c>
      <c r="N92" s="228">
        <v>8.8425925925925911E-3</v>
      </c>
      <c r="O92" s="228">
        <v>3.3217592592592591E-3</v>
      </c>
      <c r="P92" s="229">
        <v>43015</v>
      </c>
      <c r="Q92" s="218" t="s">
        <v>2255</v>
      </c>
      <c r="R92" s="220" t="s">
        <v>94</v>
      </c>
      <c r="S92" s="220" t="s">
        <v>94</v>
      </c>
      <c r="T92" s="220" t="s">
        <v>94</v>
      </c>
      <c r="U92" s="230"/>
      <c r="V92" s="231"/>
      <c r="W92" s="232" t="s">
        <v>292</v>
      </c>
      <c r="X92" s="233"/>
      <c r="Y92" s="216"/>
      <c r="Z92" s="219" t="s">
        <v>759</v>
      </c>
      <c r="AA92" s="51"/>
      <c r="AB92" s="51"/>
      <c r="AH92" s="54"/>
      <c r="AI92" s="54"/>
    </row>
    <row r="93" spans="1:40" ht="15.75" thickBot="1">
      <c r="A93" s="225">
        <v>42</v>
      </c>
      <c r="B93" s="220" t="s">
        <v>122</v>
      </c>
      <c r="C93" s="230"/>
      <c r="D93" s="219" t="s">
        <v>120</v>
      </c>
      <c r="E93" s="216" t="s">
        <v>378</v>
      </c>
      <c r="F93" s="226" t="s">
        <v>379</v>
      </c>
      <c r="G93" s="227"/>
      <c r="H93" s="227"/>
      <c r="I93" s="216"/>
      <c r="J93" s="225">
        <v>1700</v>
      </c>
      <c r="K93" s="228">
        <v>5.1967592592592595E-3</v>
      </c>
      <c r="L93" s="225" t="s">
        <v>251</v>
      </c>
      <c r="M93" s="219"/>
      <c r="N93" s="219"/>
      <c r="O93" s="216"/>
      <c r="P93" s="229">
        <v>43015</v>
      </c>
      <c r="Q93" s="216"/>
      <c r="R93" s="220"/>
      <c r="S93" s="220"/>
      <c r="T93" s="220"/>
      <c r="U93" s="230"/>
      <c r="V93" s="231"/>
      <c r="W93" s="232"/>
      <c r="X93" s="233"/>
      <c r="Y93" s="216"/>
      <c r="Z93" s="216"/>
    </row>
    <row r="94" spans="1:40" ht="15.75" thickBot="1">
      <c r="A94" s="225">
        <v>42.1</v>
      </c>
      <c r="B94" s="220" t="s">
        <v>122</v>
      </c>
      <c r="C94" s="230"/>
      <c r="D94" s="219" t="s">
        <v>120</v>
      </c>
      <c r="E94" s="216"/>
      <c r="F94" s="235"/>
      <c r="G94" s="227" t="s">
        <v>770</v>
      </c>
      <c r="H94" s="227" t="s">
        <v>771</v>
      </c>
      <c r="I94" s="216"/>
      <c r="J94" s="216"/>
      <c r="K94" s="219"/>
      <c r="L94" s="225"/>
      <c r="M94" s="228">
        <v>0</v>
      </c>
      <c r="N94" s="228">
        <v>5.1736111111111115E-3</v>
      </c>
      <c r="O94" s="228">
        <v>5.1736111111111115E-3</v>
      </c>
      <c r="P94" s="229">
        <v>43015</v>
      </c>
      <c r="Q94" s="218" t="s">
        <v>2256</v>
      </c>
      <c r="R94" s="220" t="s">
        <v>94</v>
      </c>
      <c r="S94" s="220" t="s">
        <v>94</v>
      </c>
      <c r="T94" s="220" t="s">
        <v>94</v>
      </c>
      <c r="U94" s="230"/>
      <c r="V94" s="231"/>
      <c r="W94" s="232" t="s">
        <v>292</v>
      </c>
      <c r="X94" s="233"/>
      <c r="Y94" s="216"/>
      <c r="Z94" s="238" t="s">
        <v>774</v>
      </c>
      <c r="AA94" s="51"/>
      <c r="AB94" s="51"/>
      <c r="AH94" s="51"/>
      <c r="AI94" s="51"/>
    </row>
    <row r="95" spans="1:40" ht="15.75" thickBot="1">
      <c r="A95" s="225">
        <v>43</v>
      </c>
      <c r="B95" s="220" t="s">
        <v>122</v>
      </c>
      <c r="C95" s="230"/>
      <c r="D95" s="219" t="s">
        <v>120</v>
      </c>
      <c r="E95" s="216" t="s">
        <v>380</v>
      </c>
      <c r="F95" s="226" t="s">
        <v>381</v>
      </c>
      <c r="G95" s="227"/>
      <c r="H95" s="227"/>
      <c r="I95" s="216"/>
      <c r="J95" s="225">
        <v>1000</v>
      </c>
      <c r="K95" s="228">
        <v>3.4490740740740745E-3</v>
      </c>
      <c r="L95" s="225" t="s">
        <v>251</v>
      </c>
      <c r="M95" s="219"/>
      <c r="N95" s="219"/>
      <c r="O95" s="216"/>
      <c r="P95" s="229">
        <v>43015</v>
      </c>
      <c r="Q95" s="216"/>
      <c r="R95" s="220"/>
      <c r="S95" s="220"/>
      <c r="T95" s="220"/>
      <c r="U95" s="230"/>
      <c r="V95" s="231"/>
      <c r="W95" s="232"/>
      <c r="X95" s="233"/>
      <c r="Y95" s="216"/>
      <c r="Z95" s="216"/>
    </row>
    <row r="96" spans="1:40" ht="15.75" thickBot="1">
      <c r="A96" s="225">
        <v>43.1</v>
      </c>
      <c r="B96" s="220" t="s">
        <v>122</v>
      </c>
      <c r="C96" s="230"/>
      <c r="D96" s="219" t="s">
        <v>120</v>
      </c>
      <c r="E96" s="216"/>
      <c r="F96" s="235"/>
      <c r="G96" s="227" t="s">
        <v>777</v>
      </c>
      <c r="H96" s="227" t="s">
        <v>778</v>
      </c>
      <c r="I96" s="216"/>
      <c r="J96" s="216"/>
      <c r="K96" s="219"/>
      <c r="L96" s="225"/>
      <c r="M96" s="228">
        <v>0</v>
      </c>
      <c r="N96" s="228">
        <v>3.4375E-3</v>
      </c>
      <c r="O96" s="228">
        <v>3.4375E-3</v>
      </c>
      <c r="P96" s="229">
        <v>43015</v>
      </c>
      <c r="Q96" s="218" t="s">
        <v>2257</v>
      </c>
      <c r="R96" s="220" t="s">
        <v>94</v>
      </c>
      <c r="S96" s="220" t="s">
        <v>94</v>
      </c>
      <c r="T96" s="220" t="s">
        <v>94</v>
      </c>
      <c r="U96" s="230"/>
      <c r="V96" s="231"/>
      <c r="W96" s="232" t="s">
        <v>292</v>
      </c>
      <c r="X96" s="233"/>
      <c r="Y96" s="216"/>
      <c r="Z96" s="241" t="s">
        <v>759</v>
      </c>
      <c r="AA96" s="51"/>
      <c r="AB96" s="51"/>
      <c r="AH96" s="51"/>
      <c r="AI96" s="51"/>
    </row>
    <row r="97" spans="1:40" ht="15.75" thickBot="1">
      <c r="A97" s="225">
        <v>44</v>
      </c>
      <c r="B97" s="220" t="s">
        <v>122</v>
      </c>
      <c r="C97" s="230"/>
      <c r="D97" s="219" t="s">
        <v>120</v>
      </c>
      <c r="E97" s="216" t="s">
        <v>384</v>
      </c>
      <c r="F97" s="226" t="s">
        <v>385</v>
      </c>
      <c r="G97" s="227"/>
      <c r="H97" s="227"/>
      <c r="I97" s="216"/>
      <c r="J97" s="225">
        <v>1300</v>
      </c>
      <c r="K97" s="228">
        <v>5.3240740740740748E-3</v>
      </c>
      <c r="L97" s="225" t="s">
        <v>251</v>
      </c>
      <c r="M97" s="219"/>
      <c r="N97" s="219"/>
      <c r="O97" s="216"/>
      <c r="P97" s="229">
        <v>43015</v>
      </c>
      <c r="Q97" s="216"/>
      <c r="R97" s="220"/>
      <c r="S97" s="220"/>
      <c r="T97" s="220"/>
      <c r="U97" s="230"/>
      <c r="V97" s="231"/>
      <c r="W97" s="232"/>
      <c r="X97" s="233"/>
      <c r="Y97" s="216"/>
      <c r="Z97" s="216"/>
    </row>
    <row r="98" spans="1:40" ht="15.75" thickBot="1">
      <c r="A98" s="225">
        <v>44.1</v>
      </c>
      <c r="B98" s="220" t="s">
        <v>122</v>
      </c>
      <c r="C98" s="230"/>
      <c r="D98" s="219" t="s">
        <v>120</v>
      </c>
      <c r="E98" s="216"/>
      <c r="F98" s="235"/>
      <c r="G98" s="227" t="s">
        <v>2258</v>
      </c>
      <c r="H98" s="227" t="s">
        <v>786</v>
      </c>
      <c r="I98" s="216"/>
      <c r="J98" s="216"/>
      <c r="K98" s="219"/>
      <c r="L98" s="225"/>
      <c r="M98" s="228">
        <v>3.0208333333333333E-3</v>
      </c>
      <c r="N98" s="228">
        <v>5.2893518518518515E-3</v>
      </c>
      <c r="O98" s="228">
        <v>2.2685185185185182E-3</v>
      </c>
      <c r="P98" s="229">
        <v>43015</v>
      </c>
      <c r="Q98" s="218" t="s">
        <v>2259</v>
      </c>
      <c r="R98" s="220" t="s">
        <v>94</v>
      </c>
      <c r="S98" s="220" t="s">
        <v>94</v>
      </c>
      <c r="T98" s="220" t="s">
        <v>94</v>
      </c>
      <c r="U98" s="230"/>
      <c r="V98" s="231"/>
      <c r="W98" s="232" t="s">
        <v>292</v>
      </c>
      <c r="X98" s="233"/>
      <c r="Y98" s="216"/>
      <c r="Z98" s="219" t="s">
        <v>759</v>
      </c>
      <c r="AA98" s="51"/>
      <c r="AB98" s="51"/>
      <c r="AC98" s="82"/>
      <c r="AD98" s="82"/>
      <c r="AE98" s="82"/>
      <c r="AF98" s="82"/>
      <c r="AG98" s="82"/>
      <c r="AH98" s="51"/>
      <c r="AI98" s="51"/>
    </row>
    <row r="99" spans="1:40" ht="15.75" thickBot="1">
      <c r="A99" s="225">
        <v>45</v>
      </c>
      <c r="B99" s="220" t="s">
        <v>122</v>
      </c>
      <c r="C99" s="230"/>
      <c r="D99" s="219" t="s">
        <v>120</v>
      </c>
      <c r="E99" s="216" t="s">
        <v>388</v>
      </c>
      <c r="F99" s="226" t="s">
        <v>389</v>
      </c>
      <c r="G99" s="227"/>
      <c r="H99" s="227"/>
      <c r="I99" s="216"/>
      <c r="J99" s="225">
        <v>1300</v>
      </c>
      <c r="K99" s="228">
        <v>8.2407407407407412E-3</v>
      </c>
      <c r="L99" s="225" t="s">
        <v>251</v>
      </c>
      <c r="M99" s="219"/>
      <c r="N99" s="219"/>
      <c r="O99" s="216"/>
      <c r="P99" s="229">
        <v>43015</v>
      </c>
      <c r="Q99" s="216"/>
      <c r="R99" s="220"/>
      <c r="S99" s="220"/>
      <c r="T99" s="220"/>
      <c r="U99" s="230"/>
      <c r="V99" s="231"/>
      <c r="W99" s="232"/>
      <c r="X99" s="233"/>
      <c r="Y99" s="216"/>
      <c r="Z99" s="216"/>
    </row>
    <row r="100" spans="1:40" ht="15.75" thickBot="1">
      <c r="A100" s="225">
        <v>45.1</v>
      </c>
      <c r="B100" s="220" t="s">
        <v>122</v>
      </c>
      <c r="C100" s="230"/>
      <c r="D100" s="219" t="s">
        <v>120</v>
      </c>
      <c r="E100" s="216"/>
      <c r="F100" s="235"/>
      <c r="G100" s="227" t="s">
        <v>793</v>
      </c>
      <c r="H100" s="227" t="s">
        <v>794</v>
      </c>
      <c r="I100" s="216"/>
      <c r="J100" s="216"/>
      <c r="K100" s="219"/>
      <c r="L100" s="225"/>
      <c r="M100" s="228">
        <v>0</v>
      </c>
      <c r="N100" s="228">
        <v>4.1666666666666666E-3</v>
      </c>
      <c r="O100" s="228">
        <v>4.1666666666666666E-3</v>
      </c>
      <c r="P100" s="229">
        <v>43015</v>
      </c>
      <c r="Q100" s="218" t="s">
        <v>2260</v>
      </c>
      <c r="R100" s="220" t="s">
        <v>116</v>
      </c>
      <c r="S100" s="220" t="s">
        <v>94</v>
      </c>
      <c r="T100" s="220" t="s">
        <v>94</v>
      </c>
      <c r="U100" s="230"/>
      <c r="V100" s="231"/>
      <c r="W100" s="242"/>
      <c r="X100" s="233"/>
      <c r="Y100" s="216"/>
      <c r="Z100" s="238" t="s">
        <v>797</v>
      </c>
      <c r="AA100" s="51"/>
      <c r="AB100" s="51"/>
      <c r="AC100" s="82"/>
      <c r="AD100" s="82"/>
      <c r="AE100" s="82"/>
      <c r="AF100" s="82"/>
      <c r="AG100" s="82"/>
      <c r="AH100" s="51"/>
      <c r="AI100" s="51"/>
    </row>
    <row r="101" spans="1:40" ht="15.75" thickBot="1">
      <c r="A101" s="225">
        <v>46</v>
      </c>
      <c r="B101" s="220" t="s">
        <v>122</v>
      </c>
      <c r="C101" s="230"/>
      <c r="D101" s="219" t="s">
        <v>120</v>
      </c>
      <c r="E101" s="216" t="s">
        <v>392</v>
      </c>
      <c r="F101" s="226" t="s">
        <v>393</v>
      </c>
      <c r="G101" s="227"/>
      <c r="H101" s="227"/>
      <c r="I101" s="216"/>
      <c r="J101" s="225">
        <v>940</v>
      </c>
      <c r="K101" s="228">
        <v>2.5925925925925925E-3</v>
      </c>
      <c r="L101" s="225" t="s">
        <v>251</v>
      </c>
      <c r="M101" s="219"/>
      <c r="N101" s="219"/>
      <c r="O101" s="216"/>
      <c r="P101" s="229">
        <v>43015</v>
      </c>
      <c r="Q101" s="216"/>
      <c r="R101" s="220"/>
      <c r="S101" s="220"/>
      <c r="T101" s="220"/>
      <c r="U101" s="230"/>
      <c r="V101" s="231"/>
      <c r="W101" s="232"/>
      <c r="X101" s="233"/>
      <c r="Y101" s="216"/>
      <c r="Z101" s="216"/>
    </row>
    <row r="102" spans="1:40" ht="15.75" thickBot="1">
      <c r="A102" s="225">
        <v>46.1</v>
      </c>
      <c r="B102" s="220" t="s">
        <v>122</v>
      </c>
      <c r="C102" s="230"/>
      <c r="D102" s="219" t="s">
        <v>120</v>
      </c>
      <c r="E102" s="216"/>
      <c r="F102" s="235"/>
      <c r="G102" s="227" t="s">
        <v>800</v>
      </c>
      <c r="H102" s="227"/>
      <c r="I102" s="216"/>
      <c r="J102" s="216"/>
      <c r="K102" s="219"/>
      <c r="L102" s="225"/>
      <c r="M102" s="228">
        <v>0</v>
      </c>
      <c r="N102" s="228">
        <v>2.5694444444444445E-3</v>
      </c>
      <c r="O102" s="228">
        <v>2.5694444444444445E-3</v>
      </c>
      <c r="P102" s="229">
        <v>43015</v>
      </c>
      <c r="Q102" s="218" t="s">
        <v>2261</v>
      </c>
      <c r="R102" s="220" t="s">
        <v>94</v>
      </c>
      <c r="S102" s="220" t="s">
        <v>94</v>
      </c>
      <c r="T102" s="220" t="s">
        <v>94</v>
      </c>
      <c r="U102" s="230"/>
      <c r="V102" s="231"/>
      <c r="W102" s="232" t="s">
        <v>292</v>
      </c>
      <c r="X102" s="233"/>
      <c r="Y102" s="216"/>
      <c r="Z102" s="219" t="s">
        <v>801</v>
      </c>
      <c r="AA102" s="51"/>
      <c r="AB102" s="51"/>
      <c r="AC102" s="82"/>
      <c r="AD102" s="82"/>
      <c r="AE102" s="82"/>
      <c r="AF102" s="82"/>
      <c r="AG102" s="82"/>
      <c r="AH102" s="51"/>
      <c r="AI102" s="51"/>
    </row>
    <row r="103" spans="1:40" ht="15.75" thickBot="1">
      <c r="A103" s="225">
        <v>47</v>
      </c>
      <c r="B103" s="220" t="s">
        <v>122</v>
      </c>
      <c r="C103" s="230"/>
      <c r="D103" s="219" t="s">
        <v>128</v>
      </c>
      <c r="E103" s="216" t="s">
        <v>396</v>
      </c>
      <c r="F103" s="226" t="s">
        <v>397</v>
      </c>
      <c r="G103" s="227"/>
      <c r="H103" s="227"/>
      <c r="I103" s="216"/>
      <c r="J103" s="225">
        <v>864</v>
      </c>
      <c r="K103" s="228">
        <v>4.1898148148148146E-3</v>
      </c>
      <c r="L103" s="225" t="s">
        <v>251</v>
      </c>
      <c r="M103" s="219"/>
      <c r="N103" s="219"/>
      <c r="O103" s="216"/>
      <c r="P103" s="229">
        <v>43015</v>
      </c>
      <c r="Q103" s="216"/>
      <c r="R103" s="220"/>
      <c r="S103" s="220"/>
      <c r="T103" s="220"/>
      <c r="U103" s="230"/>
      <c r="V103" s="231"/>
      <c r="W103" s="232"/>
      <c r="X103" s="233"/>
      <c r="Y103" s="216"/>
      <c r="Z103" s="216"/>
    </row>
    <row r="104" spans="1:40" ht="15.75" thickBot="1">
      <c r="A104" s="225">
        <v>48</v>
      </c>
      <c r="B104" s="220" t="s">
        <v>122</v>
      </c>
      <c r="C104" s="230"/>
      <c r="D104" s="219" t="s">
        <v>120</v>
      </c>
      <c r="E104" s="216" t="s">
        <v>402</v>
      </c>
      <c r="F104" s="226" t="s">
        <v>404</v>
      </c>
      <c r="G104" s="227"/>
      <c r="H104" s="227"/>
      <c r="I104" s="216"/>
      <c r="J104" s="225">
        <v>1100</v>
      </c>
      <c r="K104" s="228">
        <v>3.2986111111111111E-3</v>
      </c>
      <c r="L104" s="225" t="s">
        <v>251</v>
      </c>
      <c r="M104" s="219"/>
      <c r="N104" s="219"/>
      <c r="O104" s="216"/>
      <c r="P104" s="229">
        <v>43015</v>
      </c>
      <c r="Q104" s="216"/>
      <c r="R104" s="220"/>
      <c r="S104" s="220"/>
      <c r="T104" s="220"/>
      <c r="U104" s="230"/>
      <c r="V104" s="231"/>
      <c r="W104" s="232"/>
      <c r="X104" s="233"/>
      <c r="Y104" s="216"/>
      <c r="Z104" s="216"/>
    </row>
    <row r="105" spans="1:40" ht="15.75" thickBot="1">
      <c r="A105" s="225">
        <v>48.1</v>
      </c>
      <c r="B105" s="220" t="s">
        <v>122</v>
      </c>
      <c r="C105" s="230"/>
      <c r="D105" s="219" t="s">
        <v>120</v>
      </c>
      <c r="E105" s="216"/>
      <c r="F105" s="235"/>
      <c r="G105" s="227" t="s">
        <v>808</v>
      </c>
      <c r="H105" s="227"/>
      <c r="I105" s="216"/>
      <c r="J105" s="216"/>
      <c r="K105" s="219"/>
      <c r="L105" s="225"/>
      <c r="M105" s="228">
        <v>0</v>
      </c>
      <c r="N105" s="228">
        <v>3.2870370370370367E-3</v>
      </c>
      <c r="O105" s="228">
        <v>3.2870370370370367E-3</v>
      </c>
      <c r="P105" s="229">
        <v>43015</v>
      </c>
      <c r="Q105" s="218" t="s">
        <v>2262</v>
      </c>
      <c r="R105" s="220" t="s">
        <v>94</v>
      </c>
      <c r="S105" s="220" t="s">
        <v>116</v>
      </c>
      <c r="T105" s="220" t="s">
        <v>94</v>
      </c>
      <c r="U105" s="230"/>
      <c r="V105" s="231"/>
      <c r="W105" s="232" t="s">
        <v>292</v>
      </c>
      <c r="X105" s="233"/>
      <c r="Y105" s="216"/>
      <c r="Z105" s="219" t="s">
        <v>811</v>
      </c>
      <c r="AA105" s="51"/>
      <c r="AB105" s="51"/>
      <c r="AH105" s="65"/>
      <c r="AI105" s="65"/>
    </row>
    <row r="106" spans="1:40" ht="15.75" thickBot="1">
      <c r="A106" s="225">
        <v>49</v>
      </c>
      <c r="B106" s="220" t="s">
        <v>122</v>
      </c>
      <c r="C106" s="230"/>
      <c r="D106" s="219" t="s">
        <v>120</v>
      </c>
      <c r="E106" s="216" t="s">
        <v>408</v>
      </c>
      <c r="F106" s="226" t="s">
        <v>409</v>
      </c>
      <c r="G106" s="227"/>
      <c r="H106" s="227"/>
      <c r="I106" s="216"/>
      <c r="J106" s="225">
        <v>1500</v>
      </c>
      <c r="K106" s="228">
        <v>8.9467592592592585E-3</v>
      </c>
      <c r="L106" s="225" t="s">
        <v>251</v>
      </c>
      <c r="M106" s="219"/>
      <c r="N106" s="219"/>
      <c r="O106" s="216"/>
      <c r="P106" s="229">
        <v>43015</v>
      </c>
      <c r="Q106" s="216"/>
      <c r="R106" s="220"/>
      <c r="S106" s="220"/>
      <c r="T106" s="220"/>
      <c r="U106" s="230"/>
      <c r="V106" s="231"/>
      <c r="W106" s="232"/>
      <c r="X106" s="233"/>
      <c r="Y106" s="216"/>
      <c r="Z106" s="216"/>
    </row>
    <row r="107" spans="1:40" ht="15.75" thickBot="1">
      <c r="A107" s="225">
        <v>49.01</v>
      </c>
      <c r="B107" s="220" t="s">
        <v>122</v>
      </c>
      <c r="C107" s="230"/>
      <c r="D107" s="219" t="s">
        <v>120</v>
      </c>
      <c r="E107" s="216"/>
      <c r="F107" s="235"/>
      <c r="G107" s="227" t="s">
        <v>816</v>
      </c>
      <c r="H107" s="227"/>
      <c r="I107" s="216"/>
      <c r="J107" s="216"/>
      <c r="K107" s="219"/>
      <c r="L107" s="225"/>
      <c r="M107" s="228">
        <v>0</v>
      </c>
      <c r="N107" s="228">
        <v>4.1666666666666666E-3</v>
      </c>
      <c r="O107" s="228">
        <v>4.1666666666666666E-3</v>
      </c>
      <c r="P107" s="229">
        <v>43015</v>
      </c>
      <c r="Q107" s="218" t="s">
        <v>2263</v>
      </c>
      <c r="R107" s="220" t="s">
        <v>94</v>
      </c>
      <c r="S107" s="220" t="s">
        <v>94</v>
      </c>
      <c r="T107" s="220" t="s">
        <v>94</v>
      </c>
      <c r="U107" s="230"/>
      <c r="V107" s="231"/>
      <c r="W107" s="232" t="s">
        <v>292</v>
      </c>
      <c r="X107" s="233"/>
      <c r="Y107" s="216"/>
      <c r="Z107" s="219" t="s">
        <v>819</v>
      </c>
      <c r="AA107" s="82"/>
      <c r="AB107" s="82"/>
      <c r="AC107" s="82"/>
      <c r="AD107" s="82"/>
      <c r="AE107" s="82"/>
      <c r="AF107" s="82"/>
      <c r="AG107" s="82"/>
      <c r="AH107" s="51"/>
      <c r="AI107" s="51"/>
    </row>
    <row r="108" spans="1:40" ht="15.75" thickBot="1">
      <c r="A108" s="225">
        <v>49.02</v>
      </c>
      <c r="B108" s="220" t="s">
        <v>122</v>
      </c>
      <c r="C108" s="230"/>
      <c r="D108" s="219" t="s">
        <v>120</v>
      </c>
      <c r="E108" s="216"/>
      <c r="F108" s="235"/>
      <c r="G108" s="227" t="s">
        <v>2264</v>
      </c>
      <c r="H108" s="227"/>
      <c r="I108" s="216"/>
      <c r="J108" s="216"/>
      <c r="K108" s="219"/>
      <c r="L108" s="225"/>
      <c r="M108" s="228">
        <v>4.1782407407407402E-3</v>
      </c>
      <c r="N108" s="228">
        <v>8.9236111111111113E-3</v>
      </c>
      <c r="O108" s="228">
        <v>4.7453703703703703E-3</v>
      </c>
      <c r="P108" s="229">
        <v>43015</v>
      </c>
      <c r="Q108" s="218" t="s">
        <v>2265</v>
      </c>
      <c r="R108" s="220" t="s">
        <v>94</v>
      </c>
      <c r="S108" s="220" t="s">
        <v>94</v>
      </c>
      <c r="T108" s="220" t="s">
        <v>94</v>
      </c>
      <c r="U108" s="230"/>
      <c r="V108" s="231"/>
      <c r="W108" s="232" t="s">
        <v>292</v>
      </c>
      <c r="X108" s="233"/>
      <c r="Y108" s="216"/>
      <c r="Z108" s="219" t="s">
        <v>819</v>
      </c>
      <c r="AA108" s="82"/>
      <c r="AB108" s="82"/>
      <c r="AC108" s="82"/>
      <c r="AD108" s="82"/>
      <c r="AE108" s="82"/>
      <c r="AF108" s="82"/>
      <c r="AG108" s="82"/>
      <c r="AH108" s="51"/>
      <c r="AI108" s="51"/>
    </row>
    <row r="109" spans="1:40" ht="15.75" thickBot="1">
      <c r="A109" s="225">
        <v>50</v>
      </c>
      <c r="B109" s="219" t="s">
        <v>118</v>
      </c>
      <c r="C109" s="216"/>
      <c r="D109" s="219" t="s">
        <v>120</v>
      </c>
      <c r="E109" s="216" t="s">
        <v>412</v>
      </c>
      <c r="F109" s="226" t="s">
        <v>413</v>
      </c>
      <c r="G109" s="227"/>
      <c r="H109" s="227"/>
      <c r="I109" s="216"/>
      <c r="J109" s="225">
        <v>1700</v>
      </c>
      <c r="K109" s="228">
        <v>1.0266203703703703E-2</v>
      </c>
      <c r="L109" s="225" t="s">
        <v>251</v>
      </c>
      <c r="M109" s="219"/>
      <c r="N109" s="219"/>
      <c r="O109" s="216"/>
      <c r="P109" s="239">
        <v>43014</v>
      </c>
      <c r="Q109" s="216"/>
      <c r="R109" s="220"/>
      <c r="S109" s="220"/>
      <c r="T109" s="220"/>
      <c r="U109" s="230"/>
      <c r="V109" s="231"/>
      <c r="W109" s="232"/>
      <c r="X109" s="233"/>
      <c r="Y109" s="216"/>
      <c r="Z109" s="216"/>
    </row>
    <row r="110" spans="1:40" ht="15.75" thickBot="1">
      <c r="A110" s="225">
        <v>50.01</v>
      </c>
      <c r="B110" s="219" t="s">
        <v>118</v>
      </c>
      <c r="C110" s="216"/>
      <c r="D110" s="219" t="s">
        <v>120</v>
      </c>
      <c r="E110" s="216"/>
      <c r="F110" s="235"/>
      <c r="G110" s="227" t="s">
        <v>827</v>
      </c>
      <c r="H110" s="227" t="s">
        <v>828</v>
      </c>
      <c r="I110" s="216"/>
      <c r="J110" s="216"/>
      <c r="K110" s="219"/>
      <c r="L110" s="225"/>
      <c r="M110" s="228">
        <v>0</v>
      </c>
      <c r="N110" s="228">
        <v>3.9814814814814817E-3</v>
      </c>
      <c r="O110" s="228">
        <v>3.9814814814814817E-3</v>
      </c>
      <c r="P110" s="239">
        <v>43014</v>
      </c>
      <c r="Q110" s="218" t="s">
        <v>2266</v>
      </c>
      <c r="R110" s="220" t="s">
        <v>94</v>
      </c>
      <c r="S110" s="220" t="s">
        <v>116</v>
      </c>
      <c r="T110" s="220" t="s">
        <v>94</v>
      </c>
      <c r="U110" s="230"/>
      <c r="V110" s="231"/>
      <c r="W110" s="232" t="s">
        <v>292</v>
      </c>
      <c r="X110" s="233"/>
      <c r="Y110" s="216"/>
      <c r="Z110" s="216"/>
      <c r="AH110" s="51"/>
      <c r="AI110" s="51"/>
      <c r="AJ110" s="51"/>
      <c r="AK110" s="51"/>
      <c r="AL110" s="51"/>
      <c r="AM110" s="51"/>
      <c r="AN110" s="51"/>
    </row>
    <row r="111" spans="1:40" ht="15.75" thickBot="1">
      <c r="A111" s="225">
        <v>50.02</v>
      </c>
      <c r="B111" s="219" t="s">
        <v>118</v>
      </c>
      <c r="C111" s="216"/>
      <c r="D111" s="219" t="s">
        <v>128</v>
      </c>
      <c r="E111" s="216"/>
      <c r="F111" s="235"/>
      <c r="G111" s="227" t="s">
        <v>831</v>
      </c>
      <c r="H111" s="227" t="s">
        <v>2267</v>
      </c>
      <c r="I111" s="216"/>
      <c r="J111" s="216"/>
      <c r="K111" s="219"/>
      <c r="L111" s="225"/>
      <c r="M111" s="228">
        <v>3.9930555555555561E-3</v>
      </c>
      <c r="N111" s="228">
        <v>4.7453703703703703E-3</v>
      </c>
      <c r="O111" s="228">
        <v>7.5231481481481471E-4</v>
      </c>
      <c r="P111" s="239">
        <v>43014</v>
      </c>
      <c r="Q111" s="218" t="s">
        <v>2268</v>
      </c>
      <c r="R111" s="220" t="s">
        <v>94</v>
      </c>
      <c r="S111" s="220" t="s">
        <v>94</v>
      </c>
      <c r="T111" s="220" t="s">
        <v>94</v>
      </c>
      <c r="U111" s="230"/>
      <c r="V111" s="231"/>
      <c r="W111" s="232" t="s">
        <v>304</v>
      </c>
      <c r="X111" s="233"/>
      <c r="Y111" s="216"/>
      <c r="Z111" s="219" t="s">
        <v>835</v>
      </c>
      <c r="AH111" s="51"/>
      <c r="AI111" s="51"/>
      <c r="AJ111" s="51"/>
      <c r="AK111" s="51"/>
      <c r="AL111" s="51"/>
      <c r="AM111" s="51"/>
      <c r="AN111" s="51"/>
    </row>
    <row r="112" spans="1:40" ht="15.75" thickBot="1">
      <c r="A112" s="225">
        <v>50.03</v>
      </c>
      <c r="B112" s="219" t="s">
        <v>118</v>
      </c>
      <c r="C112" s="216"/>
      <c r="D112" s="219" t="s">
        <v>120</v>
      </c>
      <c r="E112" s="216"/>
      <c r="F112" s="235"/>
      <c r="G112" s="227" t="s">
        <v>838</v>
      </c>
      <c r="H112" s="227" t="s">
        <v>839</v>
      </c>
      <c r="I112" s="216"/>
      <c r="J112" s="216"/>
      <c r="K112" s="219"/>
      <c r="L112" s="225"/>
      <c r="M112" s="228">
        <v>4.7569444444444447E-3</v>
      </c>
      <c r="N112" s="228">
        <v>7.1759259259259259E-3</v>
      </c>
      <c r="O112" s="228">
        <v>2.4189814814814816E-3</v>
      </c>
      <c r="P112" s="239">
        <v>43014</v>
      </c>
      <c r="Q112" s="218" t="s">
        <v>2269</v>
      </c>
      <c r="R112" s="220" t="s">
        <v>94</v>
      </c>
      <c r="S112" s="220" t="s">
        <v>94</v>
      </c>
      <c r="T112" s="220" t="s">
        <v>94</v>
      </c>
      <c r="U112" s="230"/>
      <c r="V112" s="231"/>
      <c r="W112" s="232" t="s">
        <v>292</v>
      </c>
      <c r="X112" s="233"/>
      <c r="Y112" s="216"/>
      <c r="Z112" s="216"/>
      <c r="AH112" s="51"/>
      <c r="AI112" s="51"/>
      <c r="AJ112" s="51"/>
      <c r="AK112" s="51"/>
      <c r="AL112" s="51"/>
      <c r="AM112" s="51"/>
      <c r="AN112" s="51"/>
    </row>
    <row r="113" spans="1:40" ht="15.75" thickBot="1">
      <c r="A113" s="225">
        <v>50.04</v>
      </c>
      <c r="B113" s="219" t="s">
        <v>118</v>
      </c>
      <c r="C113" s="216"/>
      <c r="D113" s="219" t="s">
        <v>120</v>
      </c>
      <c r="E113" s="216"/>
      <c r="F113" s="235"/>
      <c r="G113" s="227" t="s">
        <v>842</v>
      </c>
      <c r="H113" s="227" t="s">
        <v>843</v>
      </c>
      <c r="I113" s="216"/>
      <c r="J113" s="216"/>
      <c r="K113" s="219"/>
      <c r="L113" s="225"/>
      <c r="M113" s="228">
        <v>7.1874999999999994E-3</v>
      </c>
      <c r="N113" s="228">
        <v>9.4212962962962957E-3</v>
      </c>
      <c r="O113" s="228">
        <v>2.2337962962962967E-3</v>
      </c>
      <c r="P113" s="239">
        <v>43014</v>
      </c>
      <c r="Q113" s="218" t="s">
        <v>2270</v>
      </c>
      <c r="R113" s="220" t="s">
        <v>94</v>
      </c>
      <c r="S113" s="220" t="s">
        <v>94</v>
      </c>
      <c r="T113" s="220" t="s">
        <v>94</v>
      </c>
      <c r="U113" s="230"/>
      <c r="V113" s="231"/>
      <c r="W113" s="232" t="s">
        <v>292</v>
      </c>
      <c r="X113" s="233"/>
      <c r="Y113" s="216"/>
      <c r="Z113" s="216"/>
      <c r="AH113" s="51"/>
      <c r="AI113" s="51"/>
      <c r="AJ113" s="51"/>
      <c r="AK113" s="51"/>
      <c r="AL113" s="51"/>
      <c r="AM113" s="51"/>
      <c r="AN113" s="51"/>
    </row>
    <row r="114" spans="1:40" ht="15.75" thickBot="1">
      <c r="A114" s="225">
        <v>51</v>
      </c>
      <c r="B114" s="219" t="s">
        <v>118</v>
      </c>
      <c r="C114" s="216"/>
      <c r="D114" s="219" t="s">
        <v>120</v>
      </c>
      <c r="E114" s="216" t="s">
        <v>418</v>
      </c>
      <c r="F114" s="226" t="s">
        <v>419</v>
      </c>
      <c r="G114" s="227"/>
      <c r="H114" s="227"/>
      <c r="I114" s="216"/>
      <c r="J114" s="225">
        <v>679</v>
      </c>
      <c r="K114" s="228">
        <v>6.0879629629629643E-3</v>
      </c>
      <c r="L114" s="225" t="s">
        <v>251</v>
      </c>
      <c r="M114" s="219"/>
      <c r="N114" s="219"/>
      <c r="O114" s="216"/>
      <c r="P114" s="229">
        <v>43016</v>
      </c>
      <c r="Q114" s="216"/>
      <c r="R114" s="220"/>
      <c r="S114" s="220"/>
      <c r="T114" s="220"/>
      <c r="U114" s="230"/>
      <c r="V114" s="231"/>
      <c r="W114" s="232"/>
      <c r="X114" s="233"/>
      <c r="Y114" s="216"/>
      <c r="Z114" s="216"/>
    </row>
    <row r="115" spans="1:40" ht="15.75" thickBot="1">
      <c r="A115" s="225">
        <v>51.01</v>
      </c>
      <c r="B115" s="219" t="s">
        <v>118</v>
      </c>
      <c r="C115" s="216"/>
      <c r="D115" s="219" t="s">
        <v>120</v>
      </c>
      <c r="E115" s="216"/>
      <c r="F115" s="235"/>
      <c r="G115" s="227" t="s">
        <v>848</v>
      </c>
      <c r="H115" s="227" t="s">
        <v>849</v>
      </c>
      <c r="I115" s="216"/>
      <c r="J115" s="216"/>
      <c r="K115" s="219"/>
      <c r="L115" s="225"/>
      <c r="M115" s="228">
        <v>0</v>
      </c>
      <c r="N115" s="228">
        <v>4.6874999999999998E-3</v>
      </c>
      <c r="O115" s="228">
        <v>4.6874999999999998E-3</v>
      </c>
      <c r="P115" s="229">
        <v>43016</v>
      </c>
      <c r="Q115" s="218" t="s">
        <v>2271</v>
      </c>
      <c r="R115" s="220" t="s">
        <v>94</v>
      </c>
      <c r="S115" s="220" t="s">
        <v>94</v>
      </c>
      <c r="T115" s="220" t="s">
        <v>94</v>
      </c>
      <c r="U115" s="230"/>
      <c r="V115" s="231"/>
      <c r="W115" s="232" t="s">
        <v>292</v>
      </c>
      <c r="X115" s="233"/>
      <c r="Y115" s="216"/>
      <c r="Z115" s="238" t="s">
        <v>853</v>
      </c>
      <c r="AH115" s="51"/>
      <c r="AI115" s="51"/>
      <c r="AJ115" s="51"/>
      <c r="AK115" s="51"/>
      <c r="AL115" s="51"/>
      <c r="AM115" s="51"/>
      <c r="AN115" s="51"/>
    </row>
    <row r="116" spans="1:40" ht="15.75" thickBot="1">
      <c r="A116" s="225">
        <v>52</v>
      </c>
      <c r="B116" s="219" t="s">
        <v>118</v>
      </c>
      <c r="C116" s="219"/>
      <c r="D116" s="219" t="s">
        <v>120</v>
      </c>
      <c r="E116" s="216" t="s">
        <v>424</v>
      </c>
      <c r="F116" s="226" t="s">
        <v>425</v>
      </c>
      <c r="G116" s="227"/>
      <c r="H116" s="227"/>
      <c r="I116" s="216"/>
      <c r="J116" s="225">
        <v>928</v>
      </c>
      <c r="K116" s="228">
        <v>0.01</v>
      </c>
      <c r="L116" s="225" t="s">
        <v>251</v>
      </c>
      <c r="M116" s="219"/>
      <c r="N116" s="219"/>
      <c r="O116" s="216"/>
      <c r="P116" s="229">
        <v>43016</v>
      </c>
      <c r="Q116" s="216"/>
      <c r="R116" s="220"/>
      <c r="S116" s="220"/>
      <c r="T116" s="220"/>
      <c r="U116" s="230"/>
      <c r="V116" s="231"/>
      <c r="W116" s="232"/>
      <c r="X116" s="233"/>
      <c r="Y116" s="216"/>
      <c r="Z116" s="216"/>
    </row>
    <row r="117" spans="1:40" ht="15.75" thickBot="1">
      <c r="A117" s="225">
        <v>52.01</v>
      </c>
      <c r="B117" s="219" t="s">
        <v>118</v>
      </c>
      <c r="C117" s="216"/>
      <c r="D117" s="241" t="s">
        <v>120</v>
      </c>
      <c r="E117" s="216"/>
      <c r="F117" s="235"/>
      <c r="G117" s="227" t="s">
        <v>859</v>
      </c>
      <c r="H117" s="227" t="s">
        <v>2272</v>
      </c>
      <c r="I117" s="216"/>
      <c r="J117" s="216"/>
      <c r="K117" s="219"/>
      <c r="L117" s="225"/>
      <c r="M117" s="228">
        <v>0</v>
      </c>
      <c r="N117" s="228">
        <v>3.1712962962962958E-3</v>
      </c>
      <c r="O117" s="228">
        <v>3.1712962962962958E-3</v>
      </c>
      <c r="P117" s="229">
        <v>43016</v>
      </c>
      <c r="Q117" s="218" t="s">
        <v>2273</v>
      </c>
      <c r="R117" s="220" t="s">
        <v>94</v>
      </c>
      <c r="S117" s="220" t="s">
        <v>94</v>
      </c>
      <c r="T117" s="220" t="s">
        <v>94</v>
      </c>
      <c r="U117" s="230"/>
      <c r="V117" s="231"/>
      <c r="W117" s="232" t="s">
        <v>292</v>
      </c>
      <c r="X117" s="233"/>
      <c r="Y117" s="216"/>
      <c r="Z117" s="216"/>
      <c r="AH117" s="51"/>
      <c r="AI117" s="51"/>
      <c r="AJ117" s="51"/>
      <c r="AK117" s="51"/>
      <c r="AL117" s="51"/>
      <c r="AM117" s="51"/>
      <c r="AN117" s="51"/>
    </row>
    <row r="118" spans="1:40" ht="15.75" thickBot="1">
      <c r="A118" s="225">
        <v>52.02</v>
      </c>
      <c r="B118" s="219" t="s">
        <v>118</v>
      </c>
      <c r="C118" s="216"/>
      <c r="D118" s="241" t="s">
        <v>120</v>
      </c>
      <c r="E118" s="216"/>
      <c r="F118" s="235"/>
      <c r="G118" s="227" t="s">
        <v>863</v>
      </c>
      <c r="H118" s="227" t="s">
        <v>864</v>
      </c>
      <c r="I118" s="216"/>
      <c r="J118" s="216"/>
      <c r="K118" s="219"/>
      <c r="L118" s="225"/>
      <c r="M118" s="228">
        <v>3.1828703703703702E-3</v>
      </c>
      <c r="N118" s="228">
        <v>9.9884259259259266E-3</v>
      </c>
      <c r="O118" s="228">
        <v>6.8055555555555569E-3</v>
      </c>
      <c r="P118" s="229">
        <v>43016</v>
      </c>
      <c r="Q118" s="218" t="s">
        <v>2274</v>
      </c>
      <c r="R118" s="220" t="s">
        <v>94</v>
      </c>
      <c r="S118" s="220" t="s">
        <v>94</v>
      </c>
      <c r="T118" s="220" t="s">
        <v>94</v>
      </c>
      <c r="U118" s="230"/>
      <c r="V118" s="231"/>
      <c r="W118" s="232" t="s">
        <v>292</v>
      </c>
      <c r="X118" s="233"/>
      <c r="Y118" s="216"/>
      <c r="Z118" s="216"/>
      <c r="AH118" s="51"/>
      <c r="AI118" s="51"/>
      <c r="AJ118" s="51"/>
      <c r="AK118" s="51"/>
      <c r="AL118" s="51"/>
      <c r="AM118" s="51"/>
      <c r="AN118" s="51"/>
    </row>
    <row r="119" spans="1:40" ht="15.75" thickBot="1">
      <c r="A119" s="225">
        <v>53</v>
      </c>
      <c r="B119" s="219" t="s">
        <v>118</v>
      </c>
      <c r="C119" s="219"/>
      <c r="D119" s="219" t="s">
        <v>120</v>
      </c>
      <c r="E119" s="216" t="s">
        <v>430</v>
      </c>
      <c r="F119" s="226" t="s">
        <v>431</v>
      </c>
      <c r="G119" s="227"/>
      <c r="H119" s="227"/>
      <c r="I119" s="216"/>
      <c r="J119" s="225">
        <v>961</v>
      </c>
      <c r="K119" s="228">
        <v>8.9814814814814809E-3</v>
      </c>
      <c r="L119" s="225" t="s">
        <v>251</v>
      </c>
      <c r="M119" s="219"/>
      <c r="N119" s="219"/>
      <c r="O119" s="216"/>
      <c r="P119" s="229">
        <v>43017</v>
      </c>
      <c r="Q119" s="216"/>
      <c r="R119" s="220"/>
      <c r="S119" s="220"/>
      <c r="T119" s="220"/>
      <c r="U119" s="230"/>
      <c r="V119" s="231"/>
      <c r="W119" s="232"/>
      <c r="X119" s="233"/>
      <c r="Y119" s="216"/>
      <c r="Z119" s="216"/>
    </row>
    <row r="120" spans="1:40" ht="15.75" thickBot="1">
      <c r="A120" s="225">
        <v>53.01</v>
      </c>
      <c r="B120" s="219" t="s">
        <v>118</v>
      </c>
      <c r="C120" s="219"/>
      <c r="D120" s="219" t="s">
        <v>120</v>
      </c>
      <c r="E120" s="216"/>
      <c r="F120" s="235"/>
      <c r="G120" s="227" t="s">
        <v>643</v>
      </c>
      <c r="H120" s="227" t="s">
        <v>2275</v>
      </c>
      <c r="I120" s="216"/>
      <c r="J120" s="216"/>
      <c r="K120" s="219"/>
      <c r="L120" s="225"/>
      <c r="M120" s="228">
        <v>0</v>
      </c>
      <c r="N120" s="228">
        <v>2.1990740740740742E-3</v>
      </c>
      <c r="O120" s="228">
        <v>2.1990740740740742E-3</v>
      </c>
      <c r="P120" s="229">
        <v>43017</v>
      </c>
      <c r="Q120" s="218" t="s">
        <v>2276</v>
      </c>
      <c r="R120" s="220" t="s">
        <v>94</v>
      </c>
      <c r="S120" s="220" t="s">
        <v>94</v>
      </c>
      <c r="T120" s="220" t="s">
        <v>94</v>
      </c>
      <c r="U120" s="230"/>
      <c r="V120" s="231"/>
      <c r="W120" s="232" t="s">
        <v>292</v>
      </c>
      <c r="X120" s="233"/>
      <c r="Y120" s="216"/>
      <c r="Z120" s="219" t="s">
        <v>874</v>
      </c>
      <c r="AH120" s="51"/>
      <c r="AI120" s="51"/>
      <c r="AJ120" s="51"/>
      <c r="AK120" s="51"/>
      <c r="AL120" s="51"/>
      <c r="AM120" s="51"/>
      <c r="AN120" s="51"/>
    </row>
    <row r="121" spans="1:40" ht="15.75" thickBot="1">
      <c r="A121" s="225">
        <v>53.02</v>
      </c>
      <c r="B121" s="219" t="s">
        <v>118</v>
      </c>
      <c r="C121" s="216"/>
      <c r="D121" s="219" t="s">
        <v>120</v>
      </c>
      <c r="E121" s="216"/>
      <c r="F121" s="235"/>
      <c r="G121" s="227" t="s">
        <v>875</v>
      </c>
      <c r="H121" s="227" t="s">
        <v>2204</v>
      </c>
      <c r="I121" s="216"/>
      <c r="J121" s="216"/>
      <c r="K121" s="219"/>
      <c r="L121" s="225"/>
      <c r="M121" s="228">
        <v>3.1712962962962958E-3</v>
      </c>
      <c r="N121" s="228">
        <v>4.8148148148148152E-3</v>
      </c>
      <c r="O121" s="228">
        <v>1.6435185185185183E-3</v>
      </c>
      <c r="P121" s="229">
        <v>43017</v>
      </c>
      <c r="Q121" s="218" t="s">
        <v>2277</v>
      </c>
      <c r="R121" s="220" t="s">
        <v>94</v>
      </c>
      <c r="S121" s="220" t="s">
        <v>94</v>
      </c>
      <c r="T121" s="220" t="s">
        <v>94</v>
      </c>
      <c r="U121" s="230"/>
      <c r="V121" s="231"/>
      <c r="W121" s="232" t="s">
        <v>292</v>
      </c>
      <c r="X121" s="233"/>
      <c r="Y121" s="216"/>
      <c r="Z121" s="219" t="s">
        <v>878</v>
      </c>
      <c r="AH121" s="51"/>
      <c r="AI121" s="51"/>
      <c r="AJ121" s="51"/>
      <c r="AK121" s="51"/>
      <c r="AL121" s="51"/>
      <c r="AM121" s="51"/>
      <c r="AN121" s="51"/>
    </row>
    <row r="122" spans="1:40" ht="15.75" thickBot="1">
      <c r="A122" s="225">
        <v>53.03</v>
      </c>
      <c r="B122" s="219" t="s">
        <v>118</v>
      </c>
      <c r="C122" s="216"/>
      <c r="D122" s="219" t="s">
        <v>120</v>
      </c>
      <c r="E122" s="216"/>
      <c r="F122" s="235"/>
      <c r="G122" s="227" t="s">
        <v>881</v>
      </c>
      <c r="H122" s="227" t="s">
        <v>882</v>
      </c>
      <c r="I122" s="216"/>
      <c r="J122" s="216"/>
      <c r="K122" s="219"/>
      <c r="L122" s="225"/>
      <c r="M122" s="228">
        <v>6.5277777777777782E-3</v>
      </c>
      <c r="N122" s="228">
        <v>7.0601851851851841E-3</v>
      </c>
      <c r="O122" s="228">
        <v>5.3240740740740744E-4</v>
      </c>
      <c r="P122" s="229">
        <v>43017</v>
      </c>
      <c r="Q122" s="218" t="s">
        <v>2278</v>
      </c>
      <c r="R122" s="220" t="s">
        <v>94</v>
      </c>
      <c r="S122" s="220" t="s">
        <v>94</v>
      </c>
      <c r="T122" s="220" t="s">
        <v>94</v>
      </c>
      <c r="U122" s="230"/>
      <c r="V122" s="231"/>
      <c r="W122" s="232" t="s">
        <v>292</v>
      </c>
      <c r="X122" s="233"/>
      <c r="Y122" s="216"/>
      <c r="Z122" s="216"/>
      <c r="AH122" s="51"/>
      <c r="AI122" s="51"/>
      <c r="AJ122" s="51"/>
      <c r="AK122" s="51"/>
      <c r="AL122" s="51"/>
      <c r="AM122" s="51"/>
      <c r="AN122" s="51"/>
    </row>
    <row r="123" spans="1:40" ht="15.75" thickBot="1">
      <c r="A123" s="225">
        <v>53.04</v>
      </c>
      <c r="B123" s="219" t="s">
        <v>118</v>
      </c>
      <c r="C123" s="216"/>
      <c r="D123" s="219" t="s">
        <v>120</v>
      </c>
      <c r="E123" s="216"/>
      <c r="F123" s="235"/>
      <c r="G123" s="227" t="s">
        <v>595</v>
      </c>
      <c r="H123" s="227" t="s">
        <v>597</v>
      </c>
      <c r="I123" s="216"/>
      <c r="J123" s="216"/>
      <c r="K123" s="219"/>
      <c r="L123" s="225"/>
      <c r="M123" s="228">
        <v>7.2337962962962963E-3</v>
      </c>
      <c r="N123" s="228">
        <v>8.2754629629629619E-3</v>
      </c>
      <c r="O123" s="228">
        <v>1.0416666666666667E-3</v>
      </c>
      <c r="P123" s="229">
        <v>43017</v>
      </c>
      <c r="Q123" s="218" t="s">
        <v>2279</v>
      </c>
      <c r="R123" s="220" t="s">
        <v>94</v>
      </c>
      <c r="S123" s="220" t="s">
        <v>94</v>
      </c>
      <c r="T123" s="220" t="s">
        <v>94</v>
      </c>
      <c r="U123" s="230"/>
      <c r="V123" s="231"/>
      <c r="W123" s="232" t="s">
        <v>292</v>
      </c>
      <c r="X123" s="233"/>
      <c r="Y123" s="216"/>
      <c r="Z123" s="219" t="s">
        <v>887</v>
      </c>
      <c r="AH123" s="51"/>
      <c r="AI123" s="51"/>
      <c r="AJ123" s="51"/>
      <c r="AK123" s="51"/>
      <c r="AL123" s="51"/>
      <c r="AM123" s="51"/>
      <c r="AN123" s="51"/>
    </row>
    <row r="124" spans="1:40" ht="15.75" thickBot="1">
      <c r="A124" s="225">
        <v>54</v>
      </c>
      <c r="B124" s="216"/>
      <c r="C124" s="216"/>
      <c r="D124" s="216"/>
      <c r="E124" s="216" t="s">
        <v>434</v>
      </c>
      <c r="F124" s="226" t="s">
        <v>435</v>
      </c>
      <c r="G124" s="227"/>
      <c r="H124" s="227"/>
      <c r="I124" s="216"/>
      <c r="J124" s="225">
        <v>1300</v>
      </c>
      <c r="K124" s="228">
        <v>9.3171296296296283E-3</v>
      </c>
      <c r="L124" s="225" t="s">
        <v>251</v>
      </c>
      <c r="M124" s="219"/>
      <c r="N124" s="219"/>
      <c r="O124" s="216"/>
      <c r="P124" s="216"/>
      <c r="Q124" s="216"/>
      <c r="R124" s="220"/>
      <c r="S124" s="220"/>
      <c r="T124" s="220"/>
      <c r="U124" s="230"/>
      <c r="V124" s="231"/>
      <c r="W124" s="232"/>
      <c r="X124" s="233"/>
      <c r="Y124" s="216"/>
      <c r="Z124" s="216"/>
    </row>
    <row r="125" spans="1:40" ht="15.75" thickBot="1">
      <c r="A125" s="225">
        <v>55</v>
      </c>
      <c r="B125" s="216"/>
      <c r="C125" s="216"/>
      <c r="D125" s="216"/>
      <c r="E125" s="216" t="s">
        <v>439</v>
      </c>
      <c r="F125" s="226" t="s">
        <v>441</v>
      </c>
      <c r="G125" s="227"/>
      <c r="H125" s="227"/>
      <c r="I125" s="216"/>
      <c r="J125" s="225">
        <v>959</v>
      </c>
      <c r="K125" s="228">
        <v>9.0740740740740729E-3</v>
      </c>
      <c r="L125" s="225" t="s">
        <v>251</v>
      </c>
      <c r="M125" s="219"/>
      <c r="N125" s="219"/>
      <c r="O125" s="216"/>
      <c r="P125" s="216"/>
      <c r="Q125" s="216"/>
      <c r="R125" s="220"/>
      <c r="S125" s="220"/>
      <c r="T125" s="220"/>
      <c r="U125" s="230"/>
      <c r="V125" s="231"/>
      <c r="W125" s="232"/>
      <c r="X125" s="233"/>
      <c r="Y125" s="216"/>
      <c r="Z125" s="216"/>
    </row>
    <row r="126" spans="1:40" ht="15.75" thickBot="1">
      <c r="A126" s="225">
        <v>56</v>
      </c>
      <c r="B126" s="216"/>
      <c r="C126" s="216"/>
      <c r="D126" s="216"/>
      <c r="E126" s="216" t="s">
        <v>443</v>
      </c>
      <c r="F126" s="226" t="s">
        <v>444</v>
      </c>
      <c r="G126" s="227"/>
      <c r="H126" s="227"/>
      <c r="I126" s="216"/>
      <c r="J126" s="225">
        <v>1100</v>
      </c>
      <c r="K126" s="228">
        <v>5.185185185185185E-3</v>
      </c>
      <c r="L126" s="225" t="s">
        <v>251</v>
      </c>
      <c r="M126" s="219"/>
      <c r="N126" s="219"/>
      <c r="O126" s="216"/>
      <c r="P126" s="216"/>
      <c r="Q126" s="216"/>
      <c r="R126" s="220"/>
      <c r="S126" s="220"/>
      <c r="T126" s="220"/>
      <c r="U126" s="230"/>
      <c r="V126" s="231"/>
      <c r="W126" s="232"/>
      <c r="X126" s="233"/>
      <c r="Y126" s="216"/>
      <c r="Z126" s="216"/>
    </row>
    <row r="127" spans="1:40" ht="15.75" thickBot="1">
      <c r="A127" s="225">
        <v>57</v>
      </c>
      <c r="B127" s="216"/>
      <c r="C127" s="216"/>
      <c r="D127" s="216"/>
      <c r="E127" s="216" t="s">
        <v>447</v>
      </c>
      <c r="F127" s="226" t="s">
        <v>449</v>
      </c>
      <c r="G127" s="227"/>
      <c r="H127" s="227"/>
      <c r="I127" s="216"/>
      <c r="J127" s="225">
        <v>1000</v>
      </c>
      <c r="K127" s="228">
        <v>8.5995370370370357E-3</v>
      </c>
      <c r="L127" s="225" t="s">
        <v>251</v>
      </c>
      <c r="M127" s="219"/>
      <c r="N127" s="219"/>
      <c r="O127" s="216"/>
      <c r="P127" s="216"/>
      <c r="Q127" s="216"/>
      <c r="R127" s="220"/>
      <c r="S127" s="220"/>
      <c r="T127" s="220"/>
      <c r="U127" s="230"/>
      <c r="V127" s="231"/>
      <c r="W127" s="232"/>
      <c r="X127" s="233"/>
      <c r="Y127" s="216"/>
      <c r="Z127" s="216"/>
    </row>
    <row r="128" spans="1:40" ht="15.75" thickBot="1">
      <c r="A128" s="225">
        <v>58</v>
      </c>
      <c r="B128" s="216"/>
      <c r="C128" s="216"/>
      <c r="D128" s="216"/>
      <c r="E128" s="216" t="s">
        <v>453</v>
      </c>
      <c r="F128" s="226" t="s">
        <v>454</v>
      </c>
      <c r="G128" s="227"/>
      <c r="H128" s="227"/>
      <c r="I128" s="216"/>
      <c r="J128" s="225">
        <v>1500</v>
      </c>
      <c r="K128" s="228">
        <v>0.01</v>
      </c>
      <c r="L128" s="225" t="s">
        <v>251</v>
      </c>
      <c r="M128" s="219"/>
      <c r="N128" s="219"/>
      <c r="O128" s="216"/>
      <c r="P128" s="216"/>
      <c r="Q128" s="216"/>
      <c r="R128" s="220"/>
      <c r="S128" s="220"/>
      <c r="T128" s="220"/>
      <c r="U128" s="230"/>
      <c r="V128" s="231"/>
      <c r="W128" s="232"/>
      <c r="X128" s="233"/>
      <c r="Y128" s="216"/>
      <c r="Z128" s="216"/>
    </row>
    <row r="129" spans="1:26" ht="15.75" thickBot="1">
      <c r="A129" s="225">
        <v>59</v>
      </c>
      <c r="B129" s="216" t="s">
        <v>97</v>
      </c>
      <c r="C129" s="216"/>
      <c r="D129" s="216" t="s">
        <v>120</v>
      </c>
      <c r="E129" s="216" t="s">
        <v>382</v>
      </c>
      <c r="F129" s="226" t="s">
        <v>383</v>
      </c>
      <c r="G129" s="227"/>
      <c r="H129" s="227"/>
      <c r="I129" s="216"/>
      <c r="J129" s="225">
        <v>3600</v>
      </c>
      <c r="K129" s="228">
        <v>3.6516203703703703E-2</v>
      </c>
      <c r="L129" s="225" t="s">
        <v>251</v>
      </c>
      <c r="M129" s="219"/>
      <c r="N129" s="219"/>
      <c r="O129" s="216"/>
      <c r="P129" s="229">
        <v>42989</v>
      </c>
      <c r="Q129" s="216"/>
      <c r="R129" s="220" t="s">
        <v>94</v>
      </c>
      <c r="S129" s="220" t="s">
        <v>94</v>
      </c>
      <c r="T129" s="220" t="s">
        <v>94</v>
      </c>
      <c r="U129" s="230"/>
      <c r="V129" s="231"/>
      <c r="W129" s="232" t="s">
        <v>292</v>
      </c>
      <c r="X129" s="233"/>
      <c r="Y129" s="216"/>
      <c r="Z129" s="216"/>
    </row>
    <row r="130" spans="1:26" ht="15.75" thickBot="1">
      <c r="A130" s="225">
        <v>59.01</v>
      </c>
      <c r="B130" s="216" t="s">
        <v>97</v>
      </c>
      <c r="C130" s="219"/>
      <c r="D130" s="216" t="s">
        <v>120</v>
      </c>
      <c r="E130" s="216"/>
      <c r="F130" s="216"/>
      <c r="G130" s="216" t="s">
        <v>386</v>
      </c>
      <c r="H130" s="227" t="s">
        <v>904</v>
      </c>
      <c r="I130" s="216"/>
      <c r="J130" s="216"/>
      <c r="K130" s="219"/>
      <c r="L130" s="225"/>
      <c r="M130" s="228">
        <v>0</v>
      </c>
      <c r="N130" s="228">
        <v>5.208333333333333E-3</v>
      </c>
      <c r="O130" s="228">
        <v>5.208333333333333E-3</v>
      </c>
      <c r="P130" s="229">
        <v>42989</v>
      </c>
      <c r="Q130" s="218" t="s">
        <v>2280</v>
      </c>
      <c r="R130" s="220" t="s">
        <v>94</v>
      </c>
      <c r="S130" s="220" t="s">
        <v>94</v>
      </c>
      <c r="T130" s="220" t="s">
        <v>94</v>
      </c>
      <c r="U130" s="230"/>
      <c r="V130" s="231"/>
      <c r="W130" s="232" t="s">
        <v>292</v>
      </c>
      <c r="X130" s="233"/>
      <c r="Y130" s="216"/>
      <c r="Z130" s="216"/>
    </row>
    <row r="131" spans="1:26" ht="15.75" thickBot="1">
      <c r="A131" s="225">
        <v>59.02</v>
      </c>
      <c r="B131" s="216" t="s">
        <v>97</v>
      </c>
      <c r="C131" s="216"/>
      <c r="D131" s="216" t="s">
        <v>120</v>
      </c>
      <c r="E131" s="216"/>
      <c r="F131" s="216"/>
      <c r="G131" s="216" t="s">
        <v>394</v>
      </c>
      <c r="H131" s="227" t="s">
        <v>395</v>
      </c>
      <c r="I131" s="216"/>
      <c r="J131" s="216"/>
      <c r="K131" s="219"/>
      <c r="L131" s="225"/>
      <c r="M131" s="228">
        <v>6.1921296296296299E-3</v>
      </c>
      <c r="N131" s="228">
        <v>1.1064814814814814E-2</v>
      </c>
      <c r="O131" s="228">
        <v>4.8726851851851856E-3</v>
      </c>
      <c r="P131" s="229">
        <v>42989</v>
      </c>
      <c r="Q131" s="218" t="s">
        <v>2281</v>
      </c>
      <c r="R131" s="220" t="s">
        <v>94</v>
      </c>
      <c r="S131" s="220" t="s">
        <v>94</v>
      </c>
      <c r="T131" s="220" t="s">
        <v>94</v>
      </c>
      <c r="U131" s="230"/>
      <c r="V131" s="231"/>
      <c r="W131" s="232" t="s">
        <v>292</v>
      </c>
      <c r="X131" s="233"/>
      <c r="Y131" s="216"/>
      <c r="Z131" s="216"/>
    </row>
    <row r="132" spans="1:26" ht="15.75" thickBot="1">
      <c r="A132" s="225">
        <v>59.03</v>
      </c>
      <c r="B132" s="216" t="s">
        <v>97</v>
      </c>
      <c r="C132" s="216"/>
      <c r="D132" s="216" t="s">
        <v>120</v>
      </c>
      <c r="E132" s="216"/>
      <c r="F132" s="216"/>
      <c r="G132" s="216" t="s">
        <v>398</v>
      </c>
      <c r="H132" s="227" t="s">
        <v>399</v>
      </c>
      <c r="I132" s="216"/>
      <c r="J132" s="216"/>
      <c r="K132" s="219"/>
      <c r="L132" s="225"/>
      <c r="M132" s="228">
        <v>1.2615740740740742E-2</v>
      </c>
      <c r="N132" s="228">
        <v>1.3877314814814815E-2</v>
      </c>
      <c r="O132" s="228">
        <v>1.261574074074074E-3</v>
      </c>
      <c r="P132" s="229">
        <v>42989</v>
      </c>
      <c r="Q132" s="218" t="s">
        <v>2282</v>
      </c>
      <c r="R132" s="220" t="s">
        <v>94</v>
      </c>
      <c r="S132" s="220" t="s">
        <v>94</v>
      </c>
      <c r="T132" s="220" t="s">
        <v>94</v>
      </c>
      <c r="U132" s="230"/>
      <c r="V132" s="231"/>
      <c r="W132" s="232" t="s">
        <v>292</v>
      </c>
      <c r="X132" s="233"/>
      <c r="Y132" s="216"/>
      <c r="Z132" s="216"/>
    </row>
    <row r="133" spans="1:26" ht="15.75" thickBot="1">
      <c r="A133" s="225">
        <v>59.04</v>
      </c>
      <c r="B133" s="216" t="s">
        <v>97</v>
      </c>
      <c r="C133" s="219"/>
      <c r="D133" s="216" t="s">
        <v>120</v>
      </c>
      <c r="E133" s="216"/>
      <c r="F133" s="216"/>
      <c r="G133" s="216" t="s">
        <v>403</v>
      </c>
      <c r="H133" s="227" t="s">
        <v>405</v>
      </c>
      <c r="I133" s="216"/>
      <c r="J133" s="216"/>
      <c r="K133" s="219"/>
      <c r="L133" s="225"/>
      <c r="M133" s="228">
        <v>1.3946759259259258E-2</v>
      </c>
      <c r="N133" s="228">
        <v>1.4814814814814814E-2</v>
      </c>
      <c r="O133" s="228">
        <v>8.6805555555555551E-4</v>
      </c>
      <c r="P133" s="229">
        <v>42989</v>
      </c>
      <c r="Q133" s="218" t="s">
        <v>2283</v>
      </c>
      <c r="R133" s="220" t="s">
        <v>94</v>
      </c>
      <c r="S133" s="220" t="s">
        <v>94</v>
      </c>
      <c r="T133" s="220" t="s">
        <v>94</v>
      </c>
      <c r="U133" s="230"/>
      <c r="V133" s="231"/>
      <c r="W133" s="232" t="s">
        <v>292</v>
      </c>
      <c r="X133" s="233"/>
      <c r="Y133" s="216"/>
      <c r="Z133" s="216"/>
    </row>
    <row r="134" spans="1:26" ht="15.75" thickBot="1">
      <c r="A134" s="225">
        <v>59.05</v>
      </c>
      <c r="B134" s="216" t="s">
        <v>97</v>
      </c>
      <c r="C134" s="216"/>
      <c r="D134" s="216" t="s">
        <v>120</v>
      </c>
      <c r="E134" s="216"/>
      <c r="F134" s="216"/>
      <c r="G134" s="216" t="s">
        <v>410</v>
      </c>
      <c r="H134" s="227" t="s">
        <v>411</v>
      </c>
      <c r="I134" s="216"/>
      <c r="J134" s="216"/>
      <c r="K134" s="219"/>
      <c r="L134" s="225"/>
      <c r="M134" s="228">
        <v>1.4837962962962963E-2</v>
      </c>
      <c r="N134" s="228">
        <v>1.6319444444444445E-2</v>
      </c>
      <c r="O134" s="228">
        <v>1.4814814814814814E-3</v>
      </c>
      <c r="P134" s="229">
        <v>42989</v>
      </c>
      <c r="Q134" s="218" t="s">
        <v>2284</v>
      </c>
      <c r="R134" s="220" t="s">
        <v>94</v>
      </c>
      <c r="S134" s="220" t="s">
        <v>94</v>
      </c>
      <c r="T134" s="220" t="s">
        <v>94</v>
      </c>
      <c r="U134" s="230"/>
      <c r="V134" s="231"/>
      <c r="W134" s="232" t="s">
        <v>292</v>
      </c>
      <c r="X134" s="233"/>
      <c r="Y134" s="216"/>
      <c r="Z134" s="216"/>
    </row>
    <row r="135" spans="1:26" ht="15.75" thickBot="1">
      <c r="A135" s="225">
        <v>59.06</v>
      </c>
      <c r="B135" s="216" t="s">
        <v>97</v>
      </c>
      <c r="C135" s="216"/>
      <c r="D135" s="216" t="s">
        <v>120</v>
      </c>
      <c r="E135" s="216"/>
      <c r="F135" s="216"/>
      <c r="G135" s="227" t="s">
        <v>415</v>
      </c>
      <c r="H135" s="216"/>
      <c r="I135" s="216"/>
      <c r="J135" s="216"/>
      <c r="K135" s="219"/>
      <c r="L135" s="225"/>
      <c r="M135" s="228">
        <v>1.6782407407407409E-2</v>
      </c>
      <c r="N135" s="228">
        <v>1.8749999999999999E-2</v>
      </c>
      <c r="O135" s="228">
        <v>1.9675925925925928E-3</v>
      </c>
      <c r="P135" s="229">
        <v>42989</v>
      </c>
      <c r="Q135" s="218" t="s">
        <v>2285</v>
      </c>
      <c r="R135" s="220" t="s">
        <v>94</v>
      </c>
      <c r="S135" s="220" t="s">
        <v>94</v>
      </c>
      <c r="T135" s="220" t="s">
        <v>94</v>
      </c>
      <c r="U135" s="230"/>
      <c r="V135" s="231"/>
      <c r="W135" s="232" t="s">
        <v>292</v>
      </c>
      <c r="X135" s="233"/>
      <c r="Y135" s="216"/>
      <c r="Z135" s="216"/>
    </row>
    <row r="136" spans="1:26" ht="15.75" thickBot="1">
      <c r="A136" s="225">
        <v>59.07</v>
      </c>
      <c r="B136" s="216" t="s">
        <v>97</v>
      </c>
      <c r="C136" s="216"/>
      <c r="D136" s="216" t="s">
        <v>120</v>
      </c>
      <c r="E136" s="216"/>
      <c r="F136" s="216"/>
      <c r="G136" s="216" t="s">
        <v>420</v>
      </c>
      <c r="H136" s="227"/>
      <c r="I136" s="216"/>
      <c r="J136" s="216"/>
      <c r="K136" s="219"/>
      <c r="L136" s="225"/>
      <c r="M136" s="228">
        <v>1.9490740740740743E-2</v>
      </c>
      <c r="N136" s="228">
        <v>2.071759259259259E-2</v>
      </c>
      <c r="O136" s="228">
        <v>1.2268518518518518E-3</v>
      </c>
      <c r="P136" s="229">
        <v>42989</v>
      </c>
      <c r="Q136" s="218" t="s">
        <v>2286</v>
      </c>
      <c r="R136" s="220" t="s">
        <v>94</v>
      </c>
      <c r="S136" s="220" t="s">
        <v>94</v>
      </c>
      <c r="T136" s="220" t="s">
        <v>94</v>
      </c>
      <c r="U136" s="230"/>
      <c r="V136" s="231"/>
      <c r="W136" s="232" t="s">
        <v>292</v>
      </c>
      <c r="X136" s="233"/>
      <c r="Y136" s="216"/>
      <c r="Z136" s="216"/>
    </row>
    <row r="137" spans="1:26" ht="15.75" thickBot="1">
      <c r="A137" s="225">
        <v>59.08</v>
      </c>
      <c r="B137" s="216" t="s">
        <v>97</v>
      </c>
      <c r="C137" s="216"/>
      <c r="D137" s="216" t="s">
        <v>120</v>
      </c>
      <c r="E137" s="216"/>
      <c r="F137" s="216"/>
      <c r="G137" s="216" t="s">
        <v>428</v>
      </c>
      <c r="H137" s="227" t="s">
        <v>917</v>
      </c>
      <c r="I137" s="216"/>
      <c r="J137" s="216"/>
      <c r="K137" s="219"/>
      <c r="L137" s="225"/>
      <c r="M137" s="228">
        <v>2.1122685185185185E-2</v>
      </c>
      <c r="N137" s="228">
        <v>2.1701388888888892E-2</v>
      </c>
      <c r="O137" s="228">
        <v>5.7870370370370378E-4</v>
      </c>
      <c r="P137" s="229">
        <v>42989</v>
      </c>
      <c r="Q137" s="218" t="s">
        <v>2287</v>
      </c>
      <c r="R137" s="220" t="s">
        <v>94</v>
      </c>
      <c r="S137" s="220" t="s">
        <v>94</v>
      </c>
      <c r="T137" s="220" t="s">
        <v>94</v>
      </c>
      <c r="U137" s="230"/>
      <c r="V137" s="231"/>
      <c r="W137" s="232" t="s">
        <v>292</v>
      </c>
      <c r="X137" s="233"/>
      <c r="Y137" s="216"/>
      <c r="Z137" s="216"/>
    </row>
    <row r="138" spans="1:26" ht="15.75" thickBot="1">
      <c r="A138" s="225">
        <v>59.09</v>
      </c>
      <c r="B138" s="216" t="s">
        <v>97</v>
      </c>
      <c r="C138" s="216"/>
      <c r="D138" s="216" t="s">
        <v>120</v>
      </c>
      <c r="E138" s="216"/>
      <c r="F138" s="216"/>
      <c r="G138" s="219" t="s">
        <v>918</v>
      </c>
      <c r="H138" s="227" t="s">
        <v>2288</v>
      </c>
      <c r="I138" s="216"/>
      <c r="J138" s="216"/>
      <c r="K138" s="219"/>
      <c r="L138" s="225"/>
      <c r="M138" s="228">
        <v>2.2800925925925929E-2</v>
      </c>
      <c r="N138" s="228">
        <v>2.4212962962962964E-2</v>
      </c>
      <c r="O138" s="228">
        <v>1.4120370370370369E-3</v>
      </c>
      <c r="P138" s="229">
        <v>42989</v>
      </c>
      <c r="Q138" s="218" t="s">
        <v>2289</v>
      </c>
      <c r="R138" s="220" t="s">
        <v>94</v>
      </c>
      <c r="S138" s="220" t="s">
        <v>94</v>
      </c>
      <c r="T138" s="220" t="s">
        <v>94</v>
      </c>
      <c r="U138" s="230"/>
      <c r="V138" s="231"/>
      <c r="W138" s="232" t="s">
        <v>292</v>
      </c>
      <c r="X138" s="233"/>
      <c r="Y138" s="216"/>
      <c r="Z138" s="216"/>
    </row>
    <row r="139" spans="1:26" ht="15.75" thickBot="1">
      <c r="A139" s="225">
        <v>59.1</v>
      </c>
      <c r="B139" s="216" t="s">
        <v>97</v>
      </c>
      <c r="C139" s="216"/>
      <c r="D139" s="216" t="s">
        <v>120</v>
      </c>
      <c r="E139" s="216"/>
      <c r="F139" s="216"/>
      <c r="G139" s="216" t="s">
        <v>436</v>
      </c>
      <c r="H139" s="227"/>
      <c r="I139" s="216"/>
      <c r="J139" s="216"/>
      <c r="K139" s="219"/>
      <c r="L139" s="225"/>
      <c r="M139" s="228">
        <v>2.4999999999999998E-2</v>
      </c>
      <c r="N139" s="228">
        <v>2.659722222222222E-2</v>
      </c>
      <c r="O139" s="228">
        <v>1.5972222222222221E-3</v>
      </c>
      <c r="P139" s="229">
        <v>42989</v>
      </c>
      <c r="Q139" s="218" t="s">
        <v>2290</v>
      </c>
      <c r="R139" s="220" t="s">
        <v>94</v>
      </c>
      <c r="S139" s="220" t="s">
        <v>94</v>
      </c>
      <c r="T139" s="220" t="s">
        <v>94</v>
      </c>
      <c r="U139" s="230"/>
      <c r="V139" s="231"/>
      <c r="W139" s="232" t="s">
        <v>292</v>
      </c>
      <c r="X139" s="233"/>
      <c r="Y139" s="216"/>
      <c r="Z139" s="216"/>
    </row>
    <row r="140" spans="1:26" ht="15.75" thickBot="1">
      <c r="A140" s="225">
        <v>59.11</v>
      </c>
      <c r="B140" s="216" t="s">
        <v>97</v>
      </c>
      <c r="C140" s="216"/>
      <c r="D140" s="216" t="s">
        <v>120</v>
      </c>
      <c r="E140" s="216"/>
      <c r="F140" s="216"/>
      <c r="G140" s="216" t="s">
        <v>440</v>
      </c>
      <c r="H140" s="227"/>
      <c r="I140" s="216"/>
      <c r="J140" s="216"/>
      <c r="K140" s="219"/>
      <c r="L140" s="225"/>
      <c r="M140" s="228">
        <v>2.6736111111111113E-2</v>
      </c>
      <c r="N140" s="228">
        <v>2.9571759259259259E-2</v>
      </c>
      <c r="O140" s="228">
        <v>2.8356481481481479E-3</v>
      </c>
      <c r="P140" s="229">
        <v>42989</v>
      </c>
      <c r="Q140" s="218" t="s">
        <v>2291</v>
      </c>
      <c r="R140" s="220" t="s">
        <v>94</v>
      </c>
      <c r="S140" s="220" t="s">
        <v>94</v>
      </c>
      <c r="T140" s="220" t="s">
        <v>94</v>
      </c>
      <c r="U140" s="230"/>
      <c r="V140" s="231"/>
      <c r="W140" s="232" t="s">
        <v>292</v>
      </c>
      <c r="X140" s="233"/>
      <c r="Y140" s="216"/>
      <c r="Z140" s="216"/>
    </row>
    <row r="141" spans="1:26" ht="15.75" thickBot="1">
      <c r="A141" s="225">
        <v>59.12</v>
      </c>
      <c r="B141" s="216" t="s">
        <v>97</v>
      </c>
      <c r="C141" s="216"/>
      <c r="D141" s="216" t="s">
        <v>120</v>
      </c>
      <c r="E141" s="216"/>
      <c r="F141" s="216"/>
      <c r="G141" s="227" t="s">
        <v>442</v>
      </c>
      <c r="H141" s="227"/>
      <c r="I141" s="216"/>
      <c r="J141" s="216"/>
      <c r="K141" s="219"/>
      <c r="L141" s="225"/>
      <c r="M141" s="228">
        <v>3.0034722222222223E-2</v>
      </c>
      <c r="N141" s="228">
        <v>3.0671296296296294E-2</v>
      </c>
      <c r="O141" s="228">
        <v>6.3657407407407402E-4</v>
      </c>
      <c r="P141" s="229">
        <v>42989</v>
      </c>
      <c r="Q141" s="218" t="s">
        <v>2292</v>
      </c>
      <c r="R141" s="220" t="s">
        <v>94</v>
      </c>
      <c r="S141" s="220" t="s">
        <v>94</v>
      </c>
      <c r="T141" s="220" t="s">
        <v>94</v>
      </c>
      <c r="U141" s="230"/>
      <c r="V141" s="231"/>
      <c r="W141" s="232" t="s">
        <v>292</v>
      </c>
      <c r="X141" s="233"/>
      <c r="Y141" s="216"/>
      <c r="Z141" s="216"/>
    </row>
    <row r="142" spans="1:26" ht="15.75" thickBot="1">
      <c r="A142" s="225">
        <v>59.13</v>
      </c>
      <c r="B142" s="216" t="s">
        <v>97</v>
      </c>
      <c r="C142" s="216"/>
      <c r="D142" s="216" t="s">
        <v>120</v>
      </c>
      <c r="E142" s="216"/>
      <c r="F142" s="216"/>
      <c r="G142" s="216" t="s">
        <v>445</v>
      </c>
      <c r="H142" s="227" t="s">
        <v>446</v>
      </c>
      <c r="I142" s="216"/>
      <c r="J142" s="216"/>
      <c r="K142" s="219"/>
      <c r="L142" s="225"/>
      <c r="M142" s="228">
        <v>3.1944444444444449E-2</v>
      </c>
      <c r="N142" s="228">
        <v>3.3912037037037039E-2</v>
      </c>
      <c r="O142" s="228">
        <v>1.9675925925925928E-3</v>
      </c>
      <c r="P142" s="229">
        <v>42989</v>
      </c>
      <c r="Q142" s="218" t="s">
        <v>2293</v>
      </c>
      <c r="R142" s="220" t="s">
        <v>94</v>
      </c>
      <c r="S142" s="220" t="s">
        <v>94</v>
      </c>
      <c r="T142" s="220" t="s">
        <v>94</v>
      </c>
      <c r="U142" s="230"/>
      <c r="V142" s="231"/>
      <c r="W142" s="232" t="s">
        <v>292</v>
      </c>
      <c r="X142" s="233"/>
      <c r="Y142" s="216"/>
      <c r="Z142" s="216"/>
    </row>
    <row r="143" spans="1:26" ht="15.75" thickBot="1">
      <c r="A143" s="225">
        <v>59.14</v>
      </c>
      <c r="B143" s="216" t="s">
        <v>97</v>
      </c>
      <c r="C143" s="216"/>
      <c r="D143" s="216" t="s">
        <v>120</v>
      </c>
      <c r="E143" s="216"/>
      <c r="F143" s="216"/>
      <c r="G143" s="216" t="s">
        <v>451</v>
      </c>
      <c r="H143" s="227" t="s">
        <v>452</v>
      </c>
      <c r="I143" s="216"/>
      <c r="J143" s="216"/>
      <c r="K143" s="219"/>
      <c r="L143" s="225"/>
      <c r="M143" s="228">
        <v>3.4606481481481481E-2</v>
      </c>
      <c r="N143" s="228">
        <v>3.5196759259259254E-2</v>
      </c>
      <c r="O143" s="228">
        <v>5.9027777777777778E-4</v>
      </c>
      <c r="P143" s="229">
        <v>42989</v>
      </c>
      <c r="Q143" s="218" t="s">
        <v>2294</v>
      </c>
      <c r="R143" s="220" t="s">
        <v>94</v>
      </c>
      <c r="S143" s="220" t="s">
        <v>94</v>
      </c>
      <c r="T143" s="220" t="s">
        <v>94</v>
      </c>
      <c r="U143" s="230"/>
      <c r="V143" s="231"/>
      <c r="W143" s="232" t="s">
        <v>292</v>
      </c>
      <c r="X143" s="233"/>
      <c r="Y143" s="216"/>
      <c r="Z143" s="216"/>
    </row>
    <row r="144" spans="1:26" ht="15.75" thickBot="1">
      <c r="A144" s="225">
        <v>60</v>
      </c>
      <c r="B144" s="216"/>
      <c r="C144" s="216"/>
      <c r="D144" s="216"/>
      <c r="E144" s="216" t="s">
        <v>462</v>
      </c>
      <c r="F144" s="226" t="s">
        <v>463</v>
      </c>
      <c r="G144" s="227"/>
      <c r="H144" s="227"/>
      <c r="I144" s="216"/>
      <c r="J144" s="225">
        <v>2300</v>
      </c>
      <c r="K144" s="228">
        <v>5.6018518518518518E-3</v>
      </c>
      <c r="L144" s="225" t="s">
        <v>459</v>
      </c>
      <c r="M144" s="219"/>
      <c r="N144" s="219"/>
      <c r="O144" s="216"/>
      <c r="P144" s="216"/>
      <c r="Q144" s="216"/>
      <c r="R144" s="220"/>
      <c r="S144" s="220"/>
      <c r="T144" s="220"/>
      <c r="U144" s="230"/>
      <c r="V144" s="231"/>
      <c r="W144" s="232"/>
      <c r="X144" s="233"/>
      <c r="Y144" s="216"/>
      <c r="Z144" s="216"/>
    </row>
    <row r="145" spans="1:26" ht="15.75" thickBot="1">
      <c r="A145" s="225">
        <v>61</v>
      </c>
      <c r="B145" s="216"/>
      <c r="C145" s="216"/>
      <c r="D145" s="216"/>
      <c r="E145" s="216" t="s">
        <v>467</v>
      </c>
      <c r="F145" s="226" t="s">
        <v>468</v>
      </c>
      <c r="G145" s="227"/>
      <c r="H145" s="227"/>
      <c r="I145" s="216"/>
      <c r="J145" s="225">
        <v>709</v>
      </c>
      <c r="K145" s="228">
        <v>2.0138888888888888E-3</v>
      </c>
      <c r="L145" s="225" t="s">
        <v>459</v>
      </c>
      <c r="M145" s="219"/>
      <c r="N145" s="219"/>
      <c r="O145" s="216"/>
      <c r="P145" s="216"/>
      <c r="Q145" s="216"/>
      <c r="R145" s="220"/>
      <c r="S145" s="220"/>
      <c r="T145" s="220"/>
      <c r="U145" s="230"/>
      <c r="V145" s="231"/>
      <c r="W145" s="232"/>
      <c r="X145" s="233"/>
      <c r="Y145" s="216"/>
      <c r="Z145" s="216"/>
    </row>
    <row r="146" spans="1:26" ht="15.75" thickBot="1">
      <c r="A146" s="225">
        <v>62</v>
      </c>
      <c r="B146" s="216" t="s">
        <v>97</v>
      </c>
      <c r="C146" s="219"/>
      <c r="D146" s="216" t="s">
        <v>120</v>
      </c>
      <c r="E146" s="216" t="s">
        <v>457</v>
      </c>
      <c r="F146" s="226" t="s">
        <v>458</v>
      </c>
      <c r="G146" s="227"/>
      <c r="H146" s="227"/>
      <c r="I146" s="216"/>
      <c r="J146" s="225">
        <v>6100</v>
      </c>
      <c r="K146" s="228">
        <v>3.6041666666666666E-2</v>
      </c>
      <c r="L146" s="225" t="s">
        <v>459</v>
      </c>
      <c r="M146" s="219"/>
      <c r="N146" s="219"/>
      <c r="O146" s="216"/>
      <c r="P146" s="229">
        <v>42997</v>
      </c>
      <c r="Q146" s="216"/>
      <c r="R146" s="220" t="s">
        <v>94</v>
      </c>
      <c r="S146" s="220" t="s">
        <v>94</v>
      </c>
      <c r="T146" s="220" t="s">
        <v>94</v>
      </c>
      <c r="U146" s="230"/>
      <c r="V146" s="231"/>
      <c r="W146" s="232" t="s">
        <v>304</v>
      </c>
      <c r="X146" s="233"/>
      <c r="Y146" s="216"/>
      <c r="Z146" s="216"/>
    </row>
    <row r="147" spans="1:26" ht="15.75" thickBot="1">
      <c r="A147" s="225">
        <v>62.1</v>
      </c>
      <c r="B147" s="216" t="s">
        <v>97</v>
      </c>
      <c r="C147" s="216"/>
      <c r="D147" s="216" t="s">
        <v>120</v>
      </c>
      <c r="E147" s="216"/>
      <c r="F147" s="235"/>
      <c r="G147" s="227" t="s">
        <v>460</v>
      </c>
      <c r="H147" s="227"/>
      <c r="I147" s="216"/>
      <c r="J147" s="216"/>
      <c r="K147" s="219"/>
      <c r="L147" s="225"/>
      <c r="M147" s="228">
        <v>2.9166666666666668E-3</v>
      </c>
      <c r="N147" s="228">
        <v>4.1666666666666666E-3</v>
      </c>
      <c r="O147" s="228">
        <v>1.25E-3</v>
      </c>
      <c r="P147" s="229">
        <v>42997</v>
      </c>
      <c r="Q147" s="218" t="s">
        <v>2295</v>
      </c>
      <c r="R147" s="220" t="s">
        <v>94</v>
      </c>
      <c r="S147" s="220" t="s">
        <v>94</v>
      </c>
      <c r="T147" s="220" t="s">
        <v>94</v>
      </c>
      <c r="U147" s="230"/>
      <c r="V147" s="231"/>
      <c r="W147" s="232" t="s">
        <v>304</v>
      </c>
      <c r="X147" s="233"/>
      <c r="Y147" s="216"/>
      <c r="Z147" s="216"/>
    </row>
    <row r="148" spans="1:26" ht="15.75" thickBot="1">
      <c r="A148" s="225">
        <v>62.2</v>
      </c>
      <c r="B148" s="216" t="s">
        <v>97</v>
      </c>
      <c r="C148" s="216"/>
      <c r="D148" s="216" t="s">
        <v>120</v>
      </c>
      <c r="E148" s="216"/>
      <c r="F148" s="235"/>
      <c r="G148" s="227" t="s">
        <v>464</v>
      </c>
      <c r="H148" s="227" t="s">
        <v>465</v>
      </c>
      <c r="I148" s="216"/>
      <c r="J148" s="216"/>
      <c r="K148" s="219"/>
      <c r="L148" s="225"/>
      <c r="M148" s="228">
        <v>5.0347222222222225E-3</v>
      </c>
      <c r="N148" s="228">
        <v>6.4930555555555549E-3</v>
      </c>
      <c r="O148" s="228">
        <v>1.4583333333333334E-3</v>
      </c>
      <c r="P148" s="229">
        <v>42997</v>
      </c>
      <c r="Q148" s="218" t="s">
        <v>2296</v>
      </c>
      <c r="R148" s="220" t="s">
        <v>94</v>
      </c>
      <c r="S148" s="220" t="s">
        <v>94</v>
      </c>
      <c r="T148" s="220" t="s">
        <v>94</v>
      </c>
      <c r="U148" s="230"/>
      <c r="V148" s="231"/>
      <c r="W148" s="232" t="s">
        <v>304</v>
      </c>
      <c r="X148" s="233"/>
      <c r="Y148" s="216"/>
      <c r="Z148" s="216"/>
    </row>
    <row r="149" spans="1:26" ht="15.75" thickBot="1">
      <c r="A149" s="225">
        <v>62.3</v>
      </c>
      <c r="B149" s="216" t="s">
        <v>97</v>
      </c>
      <c r="C149" s="216"/>
      <c r="D149" s="216" t="s">
        <v>120</v>
      </c>
      <c r="E149" s="216"/>
      <c r="F149" s="235"/>
      <c r="G149" s="227" t="s">
        <v>471</v>
      </c>
      <c r="H149" s="227" t="s">
        <v>472</v>
      </c>
      <c r="I149" s="216"/>
      <c r="J149" s="216"/>
      <c r="K149" s="219"/>
      <c r="L149" s="225"/>
      <c r="M149" s="228">
        <v>8.4490740740740741E-3</v>
      </c>
      <c r="N149" s="228">
        <v>1.1574074074074075E-2</v>
      </c>
      <c r="O149" s="228">
        <v>3.1249999999999997E-3</v>
      </c>
      <c r="P149" s="229">
        <v>42997</v>
      </c>
      <c r="Q149" s="218" t="s">
        <v>2297</v>
      </c>
      <c r="R149" s="220" t="s">
        <v>94</v>
      </c>
      <c r="S149" s="220" t="s">
        <v>94</v>
      </c>
      <c r="T149" s="220" t="s">
        <v>94</v>
      </c>
      <c r="U149" s="230"/>
      <c r="V149" s="231"/>
      <c r="W149" s="232" t="s">
        <v>304</v>
      </c>
      <c r="X149" s="233"/>
      <c r="Y149" s="216"/>
      <c r="Z149" s="216"/>
    </row>
    <row r="150" spans="1:26" ht="15.75" thickBot="1">
      <c r="A150" s="225">
        <v>62.4</v>
      </c>
      <c r="B150" s="216" t="s">
        <v>97</v>
      </c>
      <c r="C150" s="216"/>
      <c r="D150" s="216" t="s">
        <v>120</v>
      </c>
      <c r="E150" s="216"/>
      <c r="F150" s="235"/>
      <c r="G150" s="227" t="s">
        <v>473</v>
      </c>
      <c r="H150" s="227"/>
      <c r="I150" s="216"/>
      <c r="J150" s="216"/>
      <c r="K150" s="219"/>
      <c r="L150" s="225"/>
      <c r="M150" s="228">
        <v>2.5891203703703704E-2</v>
      </c>
      <c r="N150" s="228">
        <v>2.7083333333333334E-2</v>
      </c>
      <c r="O150" s="228">
        <v>1.1921296296296296E-3</v>
      </c>
      <c r="P150" s="229">
        <v>42997</v>
      </c>
      <c r="Q150" s="218" t="s">
        <v>2298</v>
      </c>
      <c r="R150" s="220" t="s">
        <v>94</v>
      </c>
      <c r="S150" s="220" t="s">
        <v>94</v>
      </c>
      <c r="T150" s="220" t="s">
        <v>94</v>
      </c>
      <c r="U150" s="230"/>
      <c r="V150" s="231"/>
      <c r="W150" s="232" t="s">
        <v>304</v>
      </c>
      <c r="X150" s="233"/>
      <c r="Y150" s="216"/>
      <c r="Z150" s="216"/>
    </row>
    <row r="151" spans="1:26" ht="15.75" thickBot="1">
      <c r="A151" s="225">
        <v>62.5</v>
      </c>
      <c r="B151" s="216" t="s">
        <v>97</v>
      </c>
      <c r="C151" s="216"/>
      <c r="D151" s="216" t="s">
        <v>120</v>
      </c>
      <c r="E151" s="216"/>
      <c r="F151" s="235"/>
      <c r="G151" s="227" t="s">
        <v>477</v>
      </c>
      <c r="H151" s="227"/>
      <c r="I151" s="216"/>
      <c r="J151" s="216"/>
      <c r="K151" s="219"/>
      <c r="L151" s="225"/>
      <c r="M151" s="228">
        <v>2.7546296296296294E-2</v>
      </c>
      <c r="N151" s="228">
        <v>2.8645833333333332E-2</v>
      </c>
      <c r="O151" s="228">
        <v>1.0995370370370371E-3</v>
      </c>
      <c r="P151" s="229">
        <v>42997</v>
      </c>
      <c r="Q151" s="218" t="s">
        <v>2299</v>
      </c>
      <c r="R151" s="220" t="s">
        <v>94</v>
      </c>
      <c r="S151" s="220" t="s">
        <v>94</v>
      </c>
      <c r="T151" s="220" t="s">
        <v>94</v>
      </c>
      <c r="U151" s="230"/>
      <c r="V151" s="231"/>
      <c r="W151" s="232" t="s">
        <v>304</v>
      </c>
      <c r="X151" s="233"/>
      <c r="Y151" s="216"/>
      <c r="Z151" s="216"/>
    </row>
    <row r="152" spans="1:26" ht="15.75" thickBot="1">
      <c r="A152" s="225">
        <v>62.6</v>
      </c>
      <c r="B152" s="216" t="s">
        <v>97</v>
      </c>
      <c r="C152" s="216"/>
      <c r="D152" s="216" t="s">
        <v>120</v>
      </c>
      <c r="E152" s="216"/>
      <c r="F152" s="235"/>
      <c r="G152" s="227" t="s">
        <v>482</v>
      </c>
      <c r="H152" s="227"/>
      <c r="I152" s="216"/>
      <c r="J152" s="216"/>
      <c r="K152" s="219"/>
      <c r="L152" s="225"/>
      <c r="M152" s="228">
        <v>2.8645833333333332E-2</v>
      </c>
      <c r="N152" s="228">
        <v>3.0439814814814819E-2</v>
      </c>
      <c r="O152" s="228">
        <v>1.7939814814814815E-3</v>
      </c>
      <c r="P152" s="229">
        <v>42997</v>
      </c>
      <c r="Q152" s="218" t="s">
        <v>2300</v>
      </c>
      <c r="R152" s="220" t="s">
        <v>94</v>
      </c>
      <c r="S152" s="220" t="s">
        <v>94</v>
      </c>
      <c r="T152" s="220" t="s">
        <v>94</v>
      </c>
      <c r="U152" s="230"/>
      <c r="V152" s="231"/>
      <c r="W152" s="232" t="s">
        <v>304</v>
      </c>
      <c r="X152" s="233"/>
      <c r="Y152" s="216"/>
      <c r="Z152" s="216"/>
    </row>
    <row r="153" spans="1:26" ht="15.75" thickBot="1">
      <c r="A153" s="225">
        <v>62.7</v>
      </c>
      <c r="B153" s="216" t="s">
        <v>97</v>
      </c>
      <c r="C153" s="216"/>
      <c r="D153" s="216" t="s">
        <v>120</v>
      </c>
      <c r="E153" s="216"/>
      <c r="F153" s="235"/>
      <c r="G153" s="227" t="s">
        <v>486</v>
      </c>
      <c r="H153" s="227"/>
      <c r="I153" s="216"/>
      <c r="J153" s="216"/>
      <c r="K153" s="219"/>
      <c r="L153" s="225"/>
      <c r="M153" s="228">
        <v>3.0497685185185183E-2</v>
      </c>
      <c r="N153" s="228">
        <v>3.2870370370370376E-2</v>
      </c>
      <c r="O153" s="228">
        <v>2.3726851851851851E-3</v>
      </c>
      <c r="P153" s="229">
        <v>42997</v>
      </c>
      <c r="Q153" s="218" t="s">
        <v>2301</v>
      </c>
      <c r="R153" s="220" t="s">
        <v>94</v>
      </c>
      <c r="S153" s="220" t="s">
        <v>94</v>
      </c>
      <c r="T153" s="220" t="s">
        <v>94</v>
      </c>
      <c r="U153" s="230"/>
      <c r="V153" s="231"/>
      <c r="W153" s="232" t="s">
        <v>304</v>
      </c>
      <c r="X153" s="233"/>
      <c r="Y153" s="216"/>
      <c r="Z153" s="216"/>
    </row>
    <row r="154" spans="1:26" ht="15.75" thickBot="1">
      <c r="A154" s="225">
        <v>63</v>
      </c>
      <c r="B154" s="216"/>
      <c r="C154" s="216"/>
      <c r="D154" s="216"/>
      <c r="E154" s="216" t="s">
        <v>474</v>
      </c>
      <c r="F154" s="226" t="s">
        <v>475</v>
      </c>
      <c r="G154" s="227"/>
      <c r="H154" s="227"/>
      <c r="I154" s="216"/>
      <c r="J154" s="225">
        <v>1200</v>
      </c>
      <c r="K154" s="228">
        <v>1.1446759259259261E-2</v>
      </c>
      <c r="L154" s="225" t="s">
        <v>459</v>
      </c>
      <c r="M154" s="219"/>
      <c r="N154" s="219"/>
      <c r="O154" s="216"/>
      <c r="P154" s="216"/>
      <c r="Q154" s="216"/>
      <c r="R154" s="220"/>
      <c r="S154" s="220"/>
      <c r="T154" s="220"/>
      <c r="U154" s="230"/>
      <c r="V154" s="231"/>
      <c r="W154" s="232"/>
      <c r="X154" s="233"/>
      <c r="Y154" s="216"/>
      <c r="Z154" s="216"/>
    </row>
    <row r="155" spans="1:26" ht="15.75" thickBot="1">
      <c r="A155" s="225">
        <v>64</v>
      </c>
      <c r="B155" s="216"/>
      <c r="C155" s="216"/>
      <c r="D155" s="216"/>
      <c r="E155" s="216" t="s">
        <v>481</v>
      </c>
      <c r="F155" s="226" t="s">
        <v>483</v>
      </c>
      <c r="G155" s="227"/>
      <c r="H155" s="227"/>
      <c r="I155" s="216"/>
      <c r="J155" s="225">
        <v>694</v>
      </c>
      <c r="K155" s="228">
        <v>9.1203703703703707E-3</v>
      </c>
      <c r="L155" s="225" t="s">
        <v>459</v>
      </c>
      <c r="M155" s="219"/>
      <c r="N155" s="219"/>
      <c r="O155" s="216"/>
      <c r="P155" s="216"/>
      <c r="Q155" s="216"/>
      <c r="R155" s="220"/>
      <c r="S155" s="220"/>
      <c r="T155" s="220"/>
      <c r="U155" s="230"/>
      <c r="V155" s="231"/>
      <c r="W155" s="232"/>
      <c r="X155" s="233"/>
      <c r="Y155" s="216"/>
      <c r="Z155" s="216"/>
    </row>
    <row r="156" spans="1:26" ht="15.75" thickBot="1">
      <c r="A156" s="225">
        <v>65</v>
      </c>
      <c r="B156" s="216"/>
      <c r="C156" s="216"/>
      <c r="D156" s="216"/>
      <c r="E156" s="216" t="s">
        <v>487</v>
      </c>
      <c r="F156" s="226" t="s">
        <v>488</v>
      </c>
      <c r="G156" s="227"/>
      <c r="H156" s="227"/>
      <c r="I156" s="216"/>
      <c r="J156" s="225">
        <v>588</v>
      </c>
      <c r="K156" s="228">
        <v>7.1990740740740739E-3</v>
      </c>
      <c r="L156" s="225" t="s">
        <v>459</v>
      </c>
      <c r="M156" s="219"/>
      <c r="N156" s="219"/>
      <c r="O156" s="216"/>
      <c r="P156" s="216"/>
      <c r="Q156" s="216"/>
      <c r="R156" s="220"/>
      <c r="S156" s="220"/>
      <c r="T156" s="220"/>
      <c r="U156" s="230"/>
      <c r="V156" s="231"/>
      <c r="W156" s="232"/>
      <c r="X156" s="233"/>
      <c r="Y156" s="216"/>
      <c r="Z156" s="216"/>
    </row>
    <row r="157" spans="1:26" ht="15.75" thickBot="1">
      <c r="A157" s="225">
        <v>66</v>
      </c>
      <c r="B157" s="216"/>
      <c r="C157" s="216"/>
      <c r="D157" s="216"/>
      <c r="E157" s="216" t="s">
        <v>491</v>
      </c>
      <c r="F157" s="226" t="s">
        <v>492</v>
      </c>
      <c r="G157" s="227"/>
      <c r="H157" s="227"/>
      <c r="I157" s="216"/>
      <c r="J157" s="225">
        <v>2900</v>
      </c>
      <c r="K157" s="228">
        <v>2.7766203703703706E-2</v>
      </c>
      <c r="L157" s="225" t="s">
        <v>459</v>
      </c>
      <c r="M157" s="219"/>
      <c r="N157" s="219"/>
      <c r="O157" s="216"/>
      <c r="P157" s="216"/>
      <c r="Q157" s="216"/>
      <c r="R157" s="220"/>
      <c r="S157" s="220"/>
      <c r="T157" s="220"/>
      <c r="U157" s="230"/>
      <c r="V157" s="231"/>
      <c r="W157" s="232"/>
      <c r="X157" s="233"/>
      <c r="Y157" s="216"/>
      <c r="Z157" s="216"/>
    </row>
    <row r="158" spans="1:26" ht="15.75" thickBot="1">
      <c r="A158" s="225">
        <v>67</v>
      </c>
      <c r="B158" s="216"/>
      <c r="C158" s="216"/>
      <c r="D158" s="216"/>
      <c r="E158" s="216" t="s">
        <v>495</v>
      </c>
      <c r="F158" s="226" t="s">
        <v>496</v>
      </c>
      <c r="G158" s="227"/>
      <c r="H158" s="227"/>
      <c r="I158" s="216"/>
      <c r="J158" s="225">
        <v>575</v>
      </c>
      <c r="K158" s="228">
        <v>5.0347222222222225E-3</v>
      </c>
      <c r="L158" s="225" t="s">
        <v>459</v>
      </c>
      <c r="M158" s="219"/>
      <c r="N158" s="219"/>
      <c r="O158" s="216"/>
      <c r="P158" s="216"/>
      <c r="Q158" s="216"/>
      <c r="R158" s="220"/>
      <c r="S158" s="220"/>
      <c r="T158" s="220"/>
      <c r="U158" s="230"/>
      <c r="V158" s="231"/>
      <c r="W158" s="232"/>
      <c r="X158" s="233"/>
      <c r="Y158" s="216"/>
      <c r="Z158" s="216"/>
    </row>
    <row r="159" spans="1:26" ht="15.75" thickBot="1">
      <c r="A159" s="225">
        <v>68</v>
      </c>
      <c r="B159" s="216"/>
      <c r="C159" s="216"/>
      <c r="D159" s="216"/>
      <c r="E159" s="216" t="s">
        <v>500</v>
      </c>
      <c r="F159" s="226" t="s">
        <v>501</v>
      </c>
      <c r="G159" s="227"/>
      <c r="H159" s="227"/>
      <c r="I159" s="216"/>
      <c r="J159" s="225">
        <v>2500</v>
      </c>
      <c r="K159" s="228">
        <v>2.4166666666666666E-2</v>
      </c>
      <c r="L159" s="225" t="s">
        <v>459</v>
      </c>
      <c r="M159" s="219"/>
      <c r="N159" s="219"/>
      <c r="O159" s="216"/>
      <c r="P159" s="216"/>
      <c r="Q159" s="216"/>
      <c r="R159" s="220"/>
      <c r="S159" s="220"/>
      <c r="T159" s="220"/>
      <c r="U159" s="230"/>
      <c r="V159" s="231"/>
      <c r="W159" s="232"/>
      <c r="X159" s="233"/>
      <c r="Y159" s="216"/>
      <c r="Z159" s="216"/>
    </row>
    <row r="160" spans="1:26" ht="15.75" thickBot="1">
      <c r="A160" s="225">
        <v>69</v>
      </c>
      <c r="B160" s="216"/>
      <c r="C160" s="216"/>
      <c r="D160" s="216"/>
      <c r="E160" s="216" t="s">
        <v>505</v>
      </c>
      <c r="F160" s="226" t="s">
        <v>506</v>
      </c>
      <c r="G160" s="227"/>
      <c r="H160" s="227"/>
      <c r="I160" s="216"/>
      <c r="J160" s="225">
        <v>2500</v>
      </c>
      <c r="K160" s="228">
        <v>3.5428240740740739E-2</v>
      </c>
      <c r="L160" s="225" t="s">
        <v>459</v>
      </c>
      <c r="M160" s="219"/>
      <c r="N160" s="219"/>
      <c r="O160" s="216"/>
      <c r="P160" s="216"/>
      <c r="Q160" s="216"/>
      <c r="R160" s="220"/>
      <c r="S160" s="220"/>
      <c r="T160" s="220"/>
      <c r="U160" s="230"/>
      <c r="V160" s="231"/>
      <c r="W160" s="232"/>
      <c r="X160" s="233"/>
      <c r="Y160" s="216"/>
      <c r="Z160" s="216"/>
    </row>
    <row r="161" spans="1:26" ht="15.75" thickBot="1">
      <c r="A161" s="225">
        <v>70</v>
      </c>
      <c r="B161" s="216"/>
      <c r="C161" s="216"/>
      <c r="D161" s="216"/>
      <c r="E161" s="216" t="s">
        <v>510</v>
      </c>
      <c r="F161" s="226" t="s">
        <v>512</v>
      </c>
      <c r="G161" s="227"/>
      <c r="H161" s="227"/>
      <c r="I161" s="216"/>
      <c r="J161" s="225">
        <v>568</v>
      </c>
      <c r="K161" s="228">
        <v>3.5185185185185185E-3</v>
      </c>
      <c r="L161" s="225" t="s">
        <v>459</v>
      </c>
      <c r="M161" s="219"/>
      <c r="N161" s="219"/>
      <c r="O161" s="216"/>
      <c r="P161" s="216"/>
      <c r="Q161" s="216"/>
      <c r="R161" s="220"/>
      <c r="S161" s="220"/>
      <c r="T161" s="220"/>
      <c r="U161" s="230"/>
      <c r="V161" s="231"/>
      <c r="W161" s="232"/>
      <c r="X161" s="233"/>
      <c r="Y161" s="216"/>
      <c r="Z161" s="216"/>
    </row>
    <row r="162" spans="1:26" ht="15.75" thickBot="1">
      <c r="A162" s="225">
        <v>71</v>
      </c>
      <c r="B162" s="216"/>
      <c r="C162" s="216"/>
      <c r="D162" s="216"/>
      <c r="E162" s="216" t="s">
        <v>514</v>
      </c>
      <c r="F162" s="226" t="s">
        <v>516</v>
      </c>
      <c r="G162" s="227"/>
      <c r="H162" s="227"/>
      <c r="I162" s="216"/>
      <c r="J162" s="225">
        <v>1100</v>
      </c>
      <c r="K162" s="228">
        <v>8.5532407407407415E-3</v>
      </c>
      <c r="L162" s="225" t="s">
        <v>459</v>
      </c>
      <c r="M162" s="219"/>
      <c r="N162" s="219"/>
      <c r="O162" s="216"/>
      <c r="P162" s="216"/>
      <c r="Q162" s="216"/>
      <c r="R162" s="220"/>
      <c r="S162" s="220"/>
      <c r="T162" s="220"/>
      <c r="U162" s="230"/>
      <c r="V162" s="231"/>
      <c r="W162" s="232"/>
      <c r="X162" s="233"/>
      <c r="Y162" s="216"/>
      <c r="Z162" s="216"/>
    </row>
    <row r="163" spans="1:26" ht="15.75" thickBot="1">
      <c r="A163" s="225">
        <v>72</v>
      </c>
      <c r="B163" s="216"/>
      <c r="C163" s="216"/>
      <c r="D163" s="216"/>
      <c r="E163" s="216" t="s">
        <v>520</v>
      </c>
      <c r="F163" s="226" t="s">
        <v>521</v>
      </c>
      <c r="G163" s="227"/>
      <c r="H163" s="227"/>
      <c r="I163" s="216"/>
      <c r="J163" s="225">
        <v>868</v>
      </c>
      <c r="K163" s="228">
        <v>1.091435185185185E-2</v>
      </c>
      <c r="L163" s="225" t="s">
        <v>459</v>
      </c>
      <c r="M163" s="219"/>
      <c r="N163" s="219"/>
      <c r="O163" s="216"/>
      <c r="P163" s="216"/>
      <c r="Q163" s="216"/>
      <c r="R163" s="220"/>
      <c r="S163" s="220"/>
      <c r="T163" s="220"/>
      <c r="U163" s="230"/>
      <c r="V163" s="231"/>
      <c r="W163" s="232"/>
      <c r="X163" s="233"/>
      <c r="Y163" s="216"/>
      <c r="Z163" s="216"/>
    </row>
    <row r="164" spans="1:26" ht="15.75" thickBot="1">
      <c r="A164" s="225">
        <v>73</v>
      </c>
      <c r="B164" s="216"/>
      <c r="C164" s="216"/>
      <c r="D164" s="216"/>
      <c r="E164" s="216" t="s">
        <v>525</v>
      </c>
      <c r="F164" s="226" t="s">
        <v>526</v>
      </c>
      <c r="G164" s="227"/>
      <c r="H164" s="227"/>
      <c r="I164" s="216"/>
      <c r="J164" s="225">
        <v>28000</v>
      </c>
      <c r="K164" s="228">
        <v>6.7152777777777783E-2</v>
      </c>
      <c r="L164" s="225" t="s">
        <v>459</v>
      </c>
      <c r="M164" s="219"/>
      <c r="N164" s="219"/>
      <c r="O164" s="216"/>
      <c r="P164" s="216"/>
      <c r="Q164" s="216"/>
      <c r="R164" s="220"/>
      <c r="S164" s="220"/>
      <c r="T164" s="220"/>
      <c r="U164" s="230"/>
      <c r="V164" s="231"/>
      <c r="W164" s="232"/>
      <c r="X164" s="233"/>
      <c r="Y164" s="216"/>
      <c r="Z164" s="216"/>
    </row>
    <row r="165" spans="1:26" ht="15.75" thickBot="1">
      <c r="A165" s="225">
        <v>74</v>
      </c>
      <c r="B165" s="216" t="s">
        <v>97</v>
      </c>
      <c r="C165" s="216"/>
      <c r="D165" s="216" t="s">
        <v>120</v>
      </c>
      <c r="E165" s="216" t="s">
        <v>489</v>
      </c>
      <c r="F165" s="226" t="s">
        <v>490</v>
      </c>
      <c r="G165" s="227"/>
      <c r="H165" s="227"/>
      <c r="I165" s="216"/>
      <c r="J165" s="225">
        <v>4400</v>
      </c>
      <c r="K165" s="228">
        <v>4.2280092592592598E-2</v>
      </c>
      <c r="L165" s="225" t="s">
        <v>459</v>
      </c>
      <c r="M165" s="219"/>
      <c r="N165" s="219"/>
      <c r="O165" s="216"/>
      <c r="P165" s="229">
        <v>43003</v>
      </c>
      <c r="Q165" s="216"/>
      <c r="R165" s="220" t="s">
        <v>94</v>
      </c>
      <c r="S165" s="220" t="s">
        <v>493</v>
      </c>
      <c r="T165" s="220" t="s">
        <v>94</v>
      </c>
      <c r="U165" s="230"/>
      <c r="V165" s="231"/>
      <c r="W165" s="232" t="s">
        <v>292</v>
      </c>
      <c r="X165" s="233"/>
      <c r="Y165" s="216"/>
      <c r="Z165" s="216"/>
    </row>
    <row r="166" spans="1:26" ht="15.75" thickBot="1">
      <c r="A166" s="225">
        <v>74.010000000000005</v>
      </c>
      <c r="B166" s="216" t="s">
        <v>97</v>
      </c>
      <c r="C166" s="216"/>
      <c r="D166" s="216" t="s">
        <v>120</v>
      </c>
      <c r="E166" s="216"/>
      <c r="F166" s="235"/>
      <c r="G166" s="227" t="s">
        <v>993</v>
      </c>
      <c r="H166" s="227"/>
      <c r="I166" s="216"/>
      <c r="J166" s="216"/>
      <c r="K166" s="219"/>
      <c r="L166" s="225"/>
      <c r="M166" s="228">
        <v>4.3981481481481484E-3</v>
      </c>
      <c r="N166" s="228">
        <v>4.7453703703703703E-3</v>
      </c>
      <c r="O166" s="228">
        <v>3.4722222222222224E-4</v>
      </c>
      <c r="P166" s="229">
        <v>43003</v>
      </c>
      <c r="Q166" s="218" t="s">
        <v>2302</v>
      </c>
      <c r="R166" s="220" t="s">
        <v>94</v>
      </c>
      <c r="S166" s="220" t="s">
        <v>499</v>
      </c>
      <c r="T166" s="220" t="s">
        <v>94</v>
      </c>
      <c r="U166" s="230"/>
      <c r="V166" s="231"/>
      <c r="W166" s="232" t="s">
        <v>304</v>
      </c>
      <c r="X166" s="233"/>
      <c r="Y166" s="216"/>
      <c r="Z166" s="216"/>
    </row>
    <row r="167" spans="1:26" ht="15.75" thickBot="1">
      <c r="A167" s="225">
        <v>74.02</v>
      </c>
      <c r="B167" s="216" t="s">
        <v>97</v>
      </c>
      <c r="C167" s="216"/>
      <c r="D167" s="216" t="s">
        <v>120</v>
      </c>
      <c r="E167" s="216"/>
      <c r="F167" s="235"/>
      <c r="G167" s="227" t="s">
        <v>502</v>
      </c>
      <c r="H167" s="227" t="s">
        <v>2303</v>
      </c>
      <c r="I167" s="216"/>
      <c r="J167" s="216"/>
      <c r="K167" s="219"/>
      <c r="L167" s="225"/>
      <c r="M167" s="228">
        <v>4.7800925925925919E-3</v>
      </c>
      <c r="N167" s="228">
        <v>5.4861111111111117E-3</v>
      </c>
      <c r="O167" s="228">
        <v>7.0601851851851847E-4</v>
      </c>
      <c r="P167" s="229">
        <v>43003</v>
      </c>
      <c r="Q167" s="218" t="s">
        <v>2304</v>
      </c>
      <c r="R167" s="220" t="s">
        <v>94</v>
      </c>
      <c r="S167" s="220" t="s">
        <v>499</v>
      </c>
      <c r="T167" s="220" t="s">
        <v>94</v>
      </c>
      <c r="U167" s="230"/>
      <c r="V167" s="231"/>
      <c r="W167" s="232" t="s">
        <v>304</v>
      </c>
      <c r="X167" s="233"/>
      <c r="Y167" s="216"/>
      <c r="Z167" s="216"/>
    </row>
    <row r="168" spans="1:26" ht="15.75" thickBot="1">
      <c r="A168" s="225">
        <v>74.03</v>
      </c>
      <c r="B168" s="216" t="s">
        <v>97</v>
      </c>
      <c r="C168" s="216"/>
      <c r="D168" s="216" t="s">
        <v>120</v>
      </c>
      <c r="E168" s="216"/>
      <c r="F168" s="235"/>
      <c r="G168" s="227" t="s">
        <v>504</v>
      </c>
      <c r="H168" s="227"/>
      <c r="I168" s="216"/>
      <c r="J168" s="216"/>
      <c r="K168" s="219"/>
      <c r="L168" s="225"/>
      <c r="M168" s="228">
        <v>7.106481481481481E-3</v>
      </c>
      <c r="N168" s="228">
        <v>9.2592592592592605E-3</v>
      </c>
      <c r="O168" s="228">
        <v>2.1527777777777778E-3</v>
      </c>
      <c r="P168" s="229">
        <v>43003</v>
      </c>
      <c r="Q168" s="218" t="s">
        <v>2305</v>
      </c>
      <c r="R168" s="220" t="s">
        <v>94</v>
      </c>
      <c r="S168" s="220" t="s">
        <v>499</v>
      </c>
      <c r="T168" s="220" t="s">
        <v>94</v>
      </c>
      <c r="U168" s="230"/>
      <c r="V168" s="231"/>
      <c r="W168" s="232" t="s">
        <v>304</v>
      </c>
      <c r="X168" s="233"/>
      <c r="Y168" s="216"/>
      <c r="Z168" s="216"/>
    </row>
    <row r="169" spans="1:26" ht="15.75" thickBot="1">
      <c r="A169" s="225">
        <v>74.040000000000006</v>
      </c>
      <c r="B169" s="216" t="s">
        <v>97</v>
      </c>
      <c r="C169" s="216"/>
      <c r="D169" s="216" t="s">
        <v>120</v>
      </c>
      <c r="E169" s="216"/>
      <c r="F169" s="235"/>
      <c r="G169" s="227" t="s">
        <v>507</v>
      </c>
      <c r="H169" s="227" t="s">
        <v>508</v>
      </c>
      <c r="I169" s="216"/>
      <c r="J169" s="216"/>
      <c r="K169" s="219"/>
      <c r="L169" s="225"/>
      <c r="M169" s="228">
        <v>9.2708333333333341E-3</v>
      </c>
      <c r="N169" s="228">
        <v>1.0995370370370371E-2</v>
      </c>
      <c r="O169" s="228">
        <v>1.7245370370370372E-3</v>
      </c>
      <c r="P169" s="229">
        <v>43003</v>
      </c>
      <c r="Q169" s="218" t="s">
        <v>2306</v>
      </c>
      <c r="R169" s="220" t="s">
        <v>94</v>
      </c>
      <c r="S169" s="220" t="s">
        <v>499</v>
      </c>
      <c r="T169" s="220" t="s">
        <v>94</v>
      </c>
      <c r="U169" s="230"/>
      <c r="V169" s="231"/>
      <c r="W169" s="232" t="s">
        <v>304</v>
      </c>
      <c r="X169" s="233"/>
      <c r="Y169" s="216"/>
      <c r="Z169" s="216"/>
    </row>
    <row r="170" spans="1:26" ht="15.75" thickBot="1">
      <c r="A170" s="225">
        <v>74.05</v>
      </c>
      <c r="B170" s="216" t="s">
        <v>97</v>
      </c>
      <c r="C170" s="216"/>
      <c r="D170" s="216" t="s">
        <v>120</v>
      </c>
      <c r="E170" s="216"/>
      <c r="F170" s="235"/>
      <c r="G170" s="227" t="s">
        <v>511</v>
      </c>
      <c r="H170" s="227"/>
      <c r="I170" s="216"/>
      <c r="J170" s="216"/>
      <c r="K170" s="219"/>
      <c r="L170" s="225"/>
      <c r="M170" s="228">
        <v>9.8958333333333329E-3</v>
      </c>
      <c r="N170" s="228">
        <v>1.0416666666666666E-2</v>
      </c>
      <c r="O170" s="228">
        <v>5.2083333333333333E-4</v>
      </c>
      <c r="P170" s="229">
        <v>43003</v>
      </c>
      <c r="Q170" s="218" t="s">
        <v>2307</v>
      </c>
      <c r="R170" s="220" t="s">
        <v>94</v>
      </c>
      <c r="S170" s="220" t="s">
        <v>499</v>
      </c>
      <c r="T170" s="220" t="s">
        <v>94</v>
      </c>
      <c r="U170" s="230"/>
      <c r="V170" s="231"/>
      <c r="W170" s="232" t="s">
        <v>304</v>
      </c>
      <c r="X170" s="233"/>
      <c r="Y170" s="216"/>
      <c r="Z170" s="216"/>
    </row>
    <row r="171" spans="1:26" ht="15.75" thickBot="1">
      <c r="A171" s="225">
        <v>74.06</v>
      </c>
      <c r="B171" s="216" t="s">
        <v>97</v>
      </c>
      <c r="C171" s="216"/>
      <c r="D171" s="216" t="s">
        <v>120</v>
      </c>
      <c r="E171" s="216"/>
      <c r="F171" s="235"/>
      <c r="G171" s="227" t="s">
        <v>513</v>
      </c>
      <c r="H171" s="227"/>
      <c r="I171" s="216"/>
      <c r="J171" s="216"/>
      <c r="K171" s="219"/>
      <c r="L171" s="225"/>
      <c r="M171" s="228">
        <v>1.0474537037037037E-2</v>
      </c>
      <c r="N171" s="228">
        <v>1.0995370370370371E-2</v>
      </c>
      <c r="O171" s="228">
        <v>5.2083333333333333E-4</v>
      </c>
      <c r="P171" s="229">
        <v>43003</v>
      </c>
      <c r="Q171" s="218" t="s">
        <v>2308</v>
      </c>
      <c r="R171" s="220" t="s">
        <v>94</v>
      </c>
      <c r="S171" s="220" t="s">
        <v>499</v>
      </c>
      <c r="T171" s="220" t="s">
        <v>94</v>
      </c>
      <c r="U171" s="230"/>
      <c r="V171" s="231"/>
      <c r="W171" s="232" t="s">
        <v>304</v>
      </c>
      <c r="X171" s="233"/>
      <c r="Y171" s="216"/>
      <c r="Z171" s="216"/>
    </row>
    <row r="172" spans="1:26" ht="15.75" thickBot="1">
      <c r="A172" s="225">
        <v>74.069999999999993</v>
      </c>
      <c r="B172" s="216" t="s">
        <v>97</v>
      </c>
      <c r="C172" s="216"/>
      <c r="D172" s="216" t="s">
        <v>120</v>
      </c>
      <c r="E172" s="216"/>
      <c r="F172" s="235"/>
      <c r="G172" s="227" t="s">
        <v>517</v>
      </c>
      <c r="H172" s="227"/>
      <c r="I172" s="216"/>
      <c r="J172" s="216"/>
      <c r="K172" s="219"/>
      <c r="L172" s="225"/>
      <c r="M172" s="228">
        <v>1.1168981481481481E-2</v>
      </c>
      <c r="N172" s="228">
        <v>1.2430555555555554E-2</v>
      </c>
      <c r="O172" s="228">
        <v>1.261574074074074E-3</v>
      </c>
      <c r="P172" s="229">
        <v>43003</v>
      </c>
      <c r="Q172" s="218" t="s">
        <v>2309</v>
      </c>
      <c r="R172" s="220" t="s">
        <v>94</v>
      </c>
      <c r="S172" s="220" t="s">
        <v>499</v>
      </c>
      <c r="T172" s="220" t="s">
        <v>94</v>
      </c>
      <c r="U172" s="230"/>
      <c r="V172" s="231"/>
      <c r="W172" s="232" t="s">
        <v>304</v>
      </c>
      <c r="X172" s="233"/>
      <c r="Y172" s="216"/>
      <c r="Z172" s="216"/>
    </row>
    <row r="173" spans="1:26" ht="15.75" thickBot="1">
      <c r="A173" s="225">
        <v>74.08</v>
      </c>
      <c r="B173" s="216" t="s">
        <v>97</v>
      </c>
      <c r="C173" s="216"/>
      <c r="D173" s="216" t="s">
        <v>120</v>
      </c>
      <c r="E173" s="216"/>
      <c r="F173" s="235"/>
      <c r="G173" s="227" t="s">
        <v>522</v>
      </c>
      <c r="H173" s="227"/>
      <c r="I173" s="216"/>
      <c r="J173" s="216"/>
      <c r="K173" s="219"/>
      <c r="L173" s="225"/>
      <c r="M173" s="228">
        <v>1.8229166666666668E-2</v>
      </c>
      <c r="N173" s="228">
        <v>2.2222222222222223E-2</v>
      </c>
      <c r="O173" s="228">
        <v>3.9930555555555561E-3</v>
      </c>
      <c r="P173" s="229">
        <v>43003</v>
      </c>
      <c r="Q173" s="218" t="s">
        <v>2310</v>
      </c>
      <c r="R173" s="220" t="s">
        <v>94</v>
      </c>
      <c r="S173" s="220" t="s">
        <v>499</v>
      </c>
      <c r="T173" s="220" t="s">
        <v>94</v>
      </c>
      <c r="U173" s="230"/>
      <c r="V173" s="231"/>
      <c r="W173" s="232" t="s">
        <v>304</v>
      </c>
      <c r="X173" s="233"/>
      <c r="Y173" s="216"/>
      <c r="Z173" s="216"/>
    </row>
    <row r="174" spans="1:26" ht="15.75" thickBot="1">
      <c r="A174" s="225">
        <v>74.09</v>
      </c>
      <c r="B174" s="216" t="s">
        <v>97</v>
      </c>
      <c r="C174" s="216"/>
      <c r="D174" s="216" t="s">
        <v>120</v>
      </c>
      <c r="E174" s="216"/>
      <c r="F174" s="235"/>
      <c r="G174" s="227" t="s">
        <v>527</v>
      </c>
      <c r="H174" s="227"/>
      <c r="I174" s="216"/>
      <c r="J174" s="216"/>
      <c r="K174" s="219"/>
      <c r="L174" s="225"/>
      <c r="M174" s="228">
        <v>2.0312500000000001E-2</v>
      </c>
      <c r="N174" s="228">
        <v>2.1597222222222223E-2</v>
      </c>
      <c r="O174" s="228">
        <v>1.2847222222222223E-3</v>
      </c>
      <c r="P174" s="229">
        <v>43003</v>
      </c>
      <c r="Q174" s="218" t="s">
        <v>2311</v>
      </c>
      <c r="R174" s="220" t="s">
        <v>94</v>
      </c>
      <c r="S174" s="220" t="s">
        <v>499</v>
      </c>
      <c r="T174" s="220" t="s">
        <v>94</v>
      </c>
      <c r="U174" s="230"/>
      <c r="V174" s="231"/>
      <c r="W174" s="232" t="s">
        <v>304</v>
      </c>
      <c r="X174" s="233"/>
      <c r="Y174" s="216"/>
      <c r="Z174" s="216"/>
    </row>
    <row r="175" spans="1:26" ht="15.75" thickBot="1">
      <c r="A175" s="225">
        <v>74.099999999999994</v>
      </c>
      <c r="B175" s="216" t="s">
        <v>97</v>
      </c>
      <c r="C175" s="216"/>
      <c r="D175" s="216" t="s">
        <v>120</v>
      </c>
      <c r="E175" s="216"/>
      <c r="F175" s="235"/>
      <c r="G175" s="227" t="s">
        <v>528</v>
      </c>
      <c r="H175" s="227"/>
      <c r="I175" s="216"/>
      <c r="J175" s="216"/>
      <c r="K175" s="219"/>
      <c r="L175" s="225"/>
      <c r="M175" s="228">
        <v>2.4155092592592589E-2</v>
      </c>
      <c r="N175" s="228">
        <v>2.5543981481481483E-2</v>
      </c>
      <c r="O175" s="228">
        <v>1.3888888888888889E-3</v>
      </c>
      <c r="P175" s="229">
        <v>43003</v>
      </c>
      <c r="Q175" s="218" t="s">
        <v>2312</v>
      </c>
      <c r="R175" s="220" t="s">
        <v>94</v>
      </c>
      <c r="S175" s="220" t="s">
        <v>499</v>
      </c>
      <c r="T175" s="220" t="s">
        <v>94</v>
      </c>
      <c r="U175" s="230"/>
      <c r="V175" s="231"/>
      <c r="W175" s="232" t="s">
        <v>304</v>
      </c>
      <c r="X175" s="233"/>
      <c r="Y175" s="216"/>
      <c r="Z175" s="216"/>
    </row>
    <row r="176" spans="1:26" ht="15.75" thickBot="1">
      <c r="A176" s="225">
        <v>74.11</v>
      </c>
      <c r="B176" s="216" t="s">
        <v>97</v>
      </c>
      <c r="C176" s="216"/>
      <c r="D176" s="216" t="s">
        <v>120</v>
      </c>
      <c r="E176" s="216"/>
      <c r="F176" s="216"/>
      <c r="G176" s="216" t="s">
        <v>529</v>
      </c>
      <c r="H176" s="227" t="s">
        <v>530</v>
      </c>
      <c r="I176" s="216"/>
      <c r="J176" s="216"/>
      <c r="K176" s="219"/>
      <c r="L176" s="225"/>
      <c r="M176" s="228">
        <v>2.9224537037037038E-2</v>
      </c>
      <c r="N176" s="228">
        <v>3.2407407407407406E-2</v>
      </c>
      <c r="O176" s="228">
        <v>3.1828703703703702E-3</v>
      </c>
      <c r="P176" s="229">
        <v>43003</v>
      </c>
      <c r="Q176" s="218" t="s">
        <v>2313</v>
      </c>
      <c r="R176" s="220" t="s">
        <v>94</v>
      </c>
      <c r="S176" s="220" t="s">
        <v>499</v>
      </c>
      <c r="T176" s="220" t="s">
        <v>94</v>
      </c>
      <c r="U176" s="230"/>
      <c r="V176" s="231"/>
      <c r="W176" s="232" t="s">
        <v>304</v>
      </c>
      <c r="X176" s="233"/>
      <c r="Y176" s="216"/>
      <c r="Z176" s="216"/>
    </row>
    <row r="177" spans="1:26" ht="15.75" thickBot="1">
      <c r="A177" s="225">
        <v>75</v>
      </c>
      <c r="B177" s="216"/>
      <c r="C177" s="216"/>
      <c r="D177" s="216"/>
      <c r="E177" s="216" t="s">
        <v>536</v>
      </c>
      <c r="F177" s="226" t="s">
        <v>537</v>
      </c>
      <c r="G177" s="227"/>
      <c r="H177" s="227"/>
      <c r="I177" s="216"/>
      <c r="J177" s="225">
        <v>7300</v>
      </c>
      <c r="K177" s="228">
        <v>4.8854166666666664E-2</v>
      </c>
      <c r="L177" s="225" t="s">
        <v>459</v>
      </c>
      <c r="M177" s="219"/>
      <c r="N177" s="219"/>
      <c r="O177" s="216"/>
      <c r="P177" s="216"/>
      <c r="Q177" s="216"/>
      <c r="R177" s="220"/>
      <c r="S177" s="220"/>
      <c r="T177" s="220"/>
      <c r="U177" s="230"/>
      <c r="V177" s="231"/>
      <c r="W177" s="232"/>
      <c r="X177" s="233"/>
      <c r="Y177" s="216"/>
      <c r="Z177" s="216"/>
    </row>
    <row r="178" spans="1:26" ht="15.75" thickBot="1">
      <c r="A178" s="225">
        <v>76</v>
      </c>
      <c r="B178" s="216"/>
      <c r="C178" s="216"/>
      <c r="D178" s="216"/>
      <c r="E178" s="216" t="s">
        <v>541</v>
      </c>
      <c r="F178" s="226" t="s">
        <v>542</v>
      </c>
      <c r="G178" s="227"/>
      <c r="H178" s="227"/>
      <c r="I178" s="216"/>
      <c r="J178" s="225">
        <v>7900</v>
      </c>
      <c r="K178" s="228">
        <v>2.476851851851852E-2</v>
      </c>
      <c r="L178" s="225" t="s">
        <v>459</v>
      </c>
      <c r="M178" s="219"/>
      <c r="N178" s="219"/>
      <c r="O178" s="216"/>
      <c r="P178" s="216"/>
      <c r="Q178" s="216"/>
      <c r="R178" s="220"/>
      <c r="S178" s="220"/>
      <c r="T178" s="220"/>
      <c r="U178" s="230"/>
      <c r="V178" s="231"/>
      <c r="W178" s="232"/>
      <c r="X178" s="233"/>
      <c r="Y178" s="216"/>
      <c r="Z178" s="216"/>
    </row>
    <row r="179" spans="1:26" ht="15.75" thickBot="1">
      <c r="A179" s="225">
        <v>77</v>
      </c>
      <c r="B179" s="216"/>
      <c r="C179" s="216"/>
      <c r="D179" s="216"/>
      <c r="E179" s="216" t="s">
        <v>546</v>
      </c>
      <c r="F179" s="226" t="s">
        <v>547</v>
      </c>
      <c r="G179" s="227"/>
      <c r="H179" s="227"/>
      <c r="I179" s="216"/>
      <c r="J179" s="225">
        <v>11000</v>
      </c>
      <c r="K179" s="228">
        <v>3.75462962962963E-2</v>
      </c>
      <c r="L179" s="225" t="s">
        <v>459</v>
      </c>
      <c r="M179" s="219"/>
      <c r="N179" s="219"/>
      <c r="O179" s="216"/>
      <c r="P179" s="216"/>
      <c r="Q179" s="216"/>
      <c r="R179" s="220"/>
      <c r="S179" s="220"/>
      <c r="T179" s="220"/>
      <c r="U179" s="230"/>
      <c r="V179" s="231"/>
      <c r="W179" s="232"/>
      <c r="X179" s="233"/>
      <c r="Y179" s="216"/>
      <c r="Z179" s="216"/>
    </row>
    <row r="180" spans="1:26" ht="15.75" thickBot="1">
      <c r="A180" s="225">
        <v>78</v>
      </c>
      <c r="B180" s="216"/>
      <c r="C180" s="216"/>
      <c r="D180" s="216"/>
      <c r="E180" s="216" t="s">
        <v>549</v>
      </c>
      <c r="F180" s="226" t="s">
        <v>551</v>
      </c>
      <c r="G180" s="227"/>
      <c r="H180" s="227"/>
      <c r="I180" s="216"/>
      <c r="J180" s="225">
        <v>6600</v>
      </c>
      <c r="K180" s="228">
        <v>2.4131944444444445E-2</v>
      </c>
      <c r="L180" s="225" t="s">
        <v>459</v>
      </c>
      <c r="M180" s="219"/>
      <c r="N180" s="219"/>
      <c r="O180" s="216"/>
      <c r="P180" s="216"/>
      <c r="Q180" s="216"/>
      <c r="R180" s="220"/>
      <c r="S180" s="220"/>
      <c r="T180" s="220"/>
      <c r="U180" s="230"/>
      <c r="V180" s="231"/>
      <c r="W180" s="232"/>
      <c r="X180" s="233"/>
      <c r="Y180" s="216"/>
      <c r="Z180" s="216"/>
    </row>
    <row r="181" spans="1:26" ht="15.75" thickBot="1">
      <c r="A181" s="225">
        <v>79</v>
      </c>
      <c r="B181" s="219" t="s">
        <v>97</v>
      </c>
      <c r="C181" s="216"/>
      <c r="D181" s="219" t="s">
        <v>120</v>
      </c>
      <c r="E181" s="216" t="s">
        <v>555</v>
      </c>
      <c r="F181" s="226" t="s">
        <v>556</v>
      </c>
      <c r="G181" s="227"/>
      <c r="H181" s="227"/>
      <c r="I181" s="216"/>
      <c r="J181" s="225">
        <v>5800</v>
      </c>
      <c r="K181" s="228">
        <v>3.2534722222222222E-2</v>
      </c>
      <c r="L181" s="225" t="s">
        <v>459</v>
      </c>
      <c r="M181" s="219"/>
      <c r="N181" s="219"/>
      <c r="O181" s="216"/>
      <c r="P181" s="243">
        <v>43009</v>
      </c>
      <c r="Q181" s="216"/>
      <c r="R181" s="220"/>
      <c r="S181" s="220"/>
      <c r="T181" s="220"/>
      <c r="U181" s="230"/>
      <c r="V181" s="231"/>
      <c r="W181" s="232"/>
      <c r="X181" s="233"/>
      <c r="Y181" s="216"/>
      <c r="Z181" s="216"/>
    </row>
    <row r="182" spans="1:26" ht="15.75" thickBot="1">
      <c r="A182" s="244">
        <v>79.010000000000005</v>
      </c>
      <c r="B182" s="219" t="s">
        <v>97</v>
      </c>
      <c r="C182" s="216"/>
      <c r="D182" s="219" t="s">
        <v>120</v>
      </c>
      <c r="E182" s="219"/>
      <c r="F182" s="219"/>
      <c r="G182" s="219" t="s">
        <v>664</v>
      </c>
      <c r="H182" s="219"/>
      <c r="I182" s="219"/>
      <c r="J182" s="219"/>
      <c r="K182" s="219"/>
      <c r="L182" s="219"/>
      <c r="M182" s="228">
        <v>1.3819444444444445E-2</v>
      </c>
      <c r="N182" s="228">
        <v>1.4953703703703705E-2</v>
      </c>
      <c r="O182" s="228">
        <v>1.1342592592592591E-3</v>
      </c>
      <c r="P182" s="243">
        <v>43009</v>
      </c>
      <c r="Q182" s="226" t="s">
        <v>2314</v>
      </c>
      <c r="R182" s="240"/>
      <c r="S182" s="240"/>
      <c r="T182" s="240"/>
      <c r="U182" s="230"/>
      <c r="V182" s="231"/>
      <c r="W182" s="242"/>
      <c r="X182" s="233"/>
      <c r="Y182" s="219"/>
      <c r="Z182" s="219"/>
    </row>
    <row r="183" spans="1:26" ht="15.75" thickBot="1">
      <c r="A183" s="225">
        <v>80</v>
      </c>
      <c r="B183" s="216"/>
      <c r="C183" s="216"/>
      <c r="D183" s="216"/>
      <c r="E183" s="216" t="s">
        <v>560</v>
      </c>
      <c r="F183" s="226" t="s">
        <v>561</v>
      </c>
      <c r="G183" s="227"/>
      <c r="H183" s="227"/>
      <c r="I183" s="216"/>
      <c r="J183" s="225">
        <v>4500</v>
      </c>
      <c r="K183" s="228">
        <v>9.8958333333333329E-3</v>
      </c>
      <c r="L183" s="225" t="s">
        <v>459</v>
      </c>
      <c r="M183" s="219"/>
      <c r="N183" s="219"/>
      <c r="O183" s="216"/>
      <c r="P183" s="216"/>
      <c r="Q183" s="216"/>
      <c r="R183" s="220"/>
      <c r="S183" s="220"/>
      <c r="T183" s="220"/>
      <c r="U183" s="230"/>
      <c r="V183" s="231"/>
      <c r="W183" s="232"/>
      <c r="X183" s="233"/>
      <c r="Y183" s="216"/>
      <c r="Z183" s="216"/>
    </row>
    <row r="184" spans="1:26" ht="15.75" thickBot="1">
      <c r="A184" s="225">
        <v>81</v>
      </c>
      <c r="B184" s="216"/>
      <c r="C184" s="216"/>
      <c r="D184" s="216"/>
      <c r="E184" s="216" t="s">
        <v>565</v>
      </c>
      <c r="F184" s="226" t="s">
        <v>566</v>
      </c>
      <c r="G184" s="227"/>
      <c r="H184" s="227"/>
      <c r="I184" s="216"/>
      <c r="J184" s="225">
        <v>2000</v>
      </c>
      <c r="K184" s="228">
        <v>2.7893518518518519E-3</v>
      </c>
      <c r="L184" s="225" t="s">
        <v>459</v>
      </c>
      <c r="M184" s="219"/>
      <c r="N184" s="219"/>
      <c r="O184" s="216"/>
      <c r="P184" s="216"/>
      <c r="Q184" s="216"/>
      <c r="R184" s="220"/>
      <c r="S184" s="220"/>
      <c r="T184" s="220"/>
      <c r="U184" s="230"/>
      <c r="V184" s="231"/>
      <c r="W184" s="232"/>
      <c r="X184" s="233"/>
      <c r="Y184" s="216"/>
      <c r="Z184" s="216"/>
    </row>
    <row r="185" spans="1:26" ht="15.75" thickBot="1">
      <c r="A185" s="225">
        <v>82</v>
      </c>
      <c r="B185" s="216"/>
      <c r="C185" s="216"/>
      <c r="D185" s="216"/>
      <c r="E185" s="216" t="s">
        <v>569</v>
      </c>
      <c r="F185" s="226" t="s">
        <v>571</v>
      </c>
      <c r="G185" s="227"/>
      <c r="H185" s="227"/>
      <c r="I185" s="216"/>
      <c r="J185" s="225">
        <v>3700</v>
      </c>
      <c r="K185" s="228">
        <v>1.1875000000000002E-2</v>
      </c>
      <c r="L185" s="225" t="s">
        <v>459</v>
      </c>
      <c r="M185" s="219"/>
      <c r="N185" s="219"/>
      <c r="O185" s="216"/>
      <c r="P185" s="216"/>
      <c r="Q185" s="216"/>
      <c r="R185" s="220"/>
      <c r="S185" s="220"/>
      <c r="T185" s="220"/>
      <c r="U185" s="230"/>
      <c r="V185" s="231"/>
      <c r="W185" s="232"/>
      <c r="X185" s="233"/>
      <c r="Y185" s="216"/>
      <c r="Z185" s="216"/>
    </row>
    <row r="186" spans="1:26" ht="15.75" thickBot="1">
      <c r="A186" s="225">
        <v>83</v>
      </c>
      <c r="B186" s="216"/>
      <c r="C186" s="216"/>
      <c r="D186" s="216"/>
      <c r="E186" s="216" t="s">
        <v>574</v>
      </c>
      <c r="F186" s="226" t="s">
        <v>575</v>
      </c>
      <c r="G186" s="227"/>
      <c r="H186" s="227"/>
      <c r="I186" s="216"/>
      <c r="J186" s="225">
        <v>965</v>
      </c>
      <c r="K186" s="228">
        <v>1.6087962962962963E-3</v>
      </c>
      <c r="L186" s="225" t="s">
        <v>459</v>
      </c>
      <c r="M186" s="219"/>
      <c r="N186" s="219"/>
      <c r="O186" s="216"/>
      <c r="P186" s="216"/>
      <c r="Q186" s="216"/>
      <c r="R186" s="220"/>
      <c r="S186" s="220"/>
      <c r="T186" s="220"/>
      <c r="U186" s="230"/>
      <c r="V186" s="231"/>
      <c r="W186" s="232"/>
      <c r="X186" s="233"/>
      <c r="Y186" s="216"/>
      <c r="Z186" s="216"/>
    </row>
    <row r="187" spans="1:26" ht="15.75" thickBot="1">
      <c r="A187" s="225">
        <v>84</v>
      </c>
      <c r="B187" s="216"/>
      <c r="C187" s="216"/>
      <c r="D187" s="216"/>
      <c r="E187" s="216" t="s">
        <v>579</v>
      </c>
      <c r="F187" s="226" t="s">
        <v>580</v>
      </c>
      <c r="G187" s="227"/>
      <c r="H187" s="227"/>
      <c r="I187" s="216"/>
      <c r="J187" s="225">
        <v>3900</v>
      </c>
      <c r="K187" s="228">
        <v>4.2152777777777782E-2</v>
      </c>
      <c r="L187" s="225" t="s">
        <v>459</v>
      </c>
      <c r="M187" s="219"/>
      <c r="N187" s="219"/>
      <c r="O187" s="216"/>
      <c r="P187" s="216"/>
      <c r="Q187" s="216"/>
      <c r="R187" s="220"/>
      <c r="S187" s="220"/>
      <c r="T187" s="220"/>
      <c r="U187" s="230"/>
      <c r="V187" s="231"/>
      <c r="W187" s="232"/>
      <c r="X187" s="233"/>
      <c r="Y187" s="216"/>
      <c r="Z187" s="216"/>
    </row>
    <row r="188" spans="1:26" ht="15.75" thickBot="1">
      <c r="A188" s="225">
        <v>85</v>
      </c>
      <c r="B188" s="216"/>
      <c r="C188" s="216"/>
      <c r="D188" s="216"/>
      <c r="E188" s="216" t="s">
        <v>583</v>
      </c>
      <c r="F188" s="226" t="s">
        <v>584</v>
      </c>
      <c r="G188" s="227"/>
      <c r="H188" s="227"/>
      <c r="I188" s="216"/>
      <c r="J188" s="225">
        <v>3500</v>
      </c>
      <c r="K188" s="228">
        <v>7.0949074074074074E-3</v>
      </c>
      <c r="L188" s="225" t="s">
        <v>459</v>
      </c>
      <c r="M188" s="219"/>
      <c r="N188" s="219"/>
      <c r="O188" s="216"/>
      <c r="P188" s="216"/>
      <c r="Q188" s="216"/>
      <c r="R188" s="220"/>
      <c r="S188" s="220"/>
      <c r="T188" s="220"/>
      <c r="U188" s="230"/>
      <c r="V188" s="231"/>
      <c r="W188" s="232"/>
      <c r="X188" s="233"/>
      <c r="Y188" s="216"/>
      <c r="Z188" s="216"/>
    </row>
    <row r="189" spans="1:26" ht="15.75" thickBot="1">
      <c r="A189" s="225">
        <v>86</v>
      </c>
      <c r="B189" s="216"/>
      <c r="C189" s="216"/>
      <c r="D189" s="216"/>
      <c r="E189" s="216" t="s">
        <v>588</v>
      </c>
      <c r="F189" s="226" t="s">
        <v>589</v>
      </c>
      <c r="G189" s="227"/>
      <c r="H189" s="227"/>
      <c r="I189" s="216"/>
      <c r="J189" s="225">
        <v>7400</v>
      </c>
      <c r="K189" s="228">
        <v>2.7337962962962963E-2</v>
      </c>
      <c r="L189" s="225" t="s">
        <v>459</v>
      </c>
      <c r="M189" s="219"/>
      <c r="N189" s="219"/>
      <c r="O189" s="216"/>
      <c r="P189" s="216"/>
      <c r="Q189" s="216"/>
      <c r="R189" s="220"/>
      <c r="S189" s="220"/>
      <c r="T189" s="220"/>
      <c r="U189" s="230"/>
      <c r="V189" s="231"/>
      <c r="W189" s="232"/>
      <c r="X189" s="233"/>
      <c r="Y189" s="216"/>
      <c r="Z189" s="216"/>
    </row>
    <row r="190" spans="1:26" ht="15.75" thickBot="1">
      <c r="A190" s="225">
        <v>87</v>
      </c>
      <c r="B190" s="216"/>
      <c r="C190" s="216"/>
      <c r="D190" s="216"/>
      <c r="E190" s="216" t="s">
        <v>593</v>
      </c>
      <c r="F190" s="226" t="s">
        <v>594</v>
      </c>
      <c r="G190" s="227"/>
      <c r="H190" s="227"/>
      <c r="I190" s="216"/>
      <c r="J190" s="225">
        <v>4000</v>
      </c>
      <c r="K190" s="228">
        <v>1.068287037037037E-2</v>
      </c>
      <c r="L190" s="225" t="s">
        <v>459</v>
      </c>
      <c r="M190" s="219"/>
      <c r="N190" s="219"/>
      <c r="O190" s="216"/>
      <c r="P190" s="216"/>
      <c r="Q190" s="216"/>
      <c r="R190" s="220"/>
      <c r="S190" s="220"/>
      <c r="T190" s="220"/>
      <c r="U190" s="230"/>
      <c r="V190" s="231"/>
      <c r="W190" s="232"/>
      <c r="X190" s="233"/>
      <c r="Y190" s="216"/>
      <c r="Z190" s="216"/>
    </row>
    <row r="191" spans="1:26" ht="15.75" thickBot="1">
      <c r="A191" s="225">
        <v>88</v>
      </c>
      <c r="B191" s="216"/>
      <c r="C191" s="216"/>
      <c r="D191" s="216"/>
      <c r="E191" s="216" t="s">
        <v>599</v>
      </c>
      <c r="F191" s="226" t="s">
        <v>600</v>
      </c>
      <c r="G191" s="227"/>
      <c r="H191" s="227"/>
      <c r="I191" s="216"/>
      <c r="J191" s="225">
        <v>4100</v>
      </c>
      <c r="K191" s="228">
        <v>1.8055555555555557E-2</v>
      </c>
      <c r="L191" s="225" t="s">
        <v>459</v>
      </c>
      <c r="M191" s="219"/>
      <c r="N191" s="219"/>
      <c r="O191" s="216"/>
      <c r="P191" s="216"/>
      <c r="Q191" s="216"/>
      <c r="R191" s="220"/>
      <c r="S191" s="220"/>
      <c r="T191" s="220"/>
      <c r="U191" s="230"/>
      <c r="V191" s="231"/>
      <c r="W191" s="232"/>
      <c r="X191" s="233"/>
      <c r="Y191" s="216"/>
      <c r="Z191" s="216"/>
    </row>
    <row r="192" spans="1:26" ht="15.75" thickBot="1">
      <c r="A192" s="225">
        <v>89</v>
      </c>
      <c r="B192" s="216"/>
      <c r="C192" s="216"/>
      <c r="D192" s="216"/>
      <c r="E192" s="216" t="s">
        <v>607</v>
      </c>
      <c r="F192" s="226" t="s">
        <v>608</v>
      </c>
      <c r="G192" s="227"/>
      <c r="H192" s="227"/>
      <c r="I192" s="216"/>
      <c r="J192" s="225">
        <v>15000</v>
      </c>
      <c r="K192" s="228">
        <v>4.02662037037037E-2</v>
      </c>
      <c r="L192" s="225" t="s">
        <v>459</v>
      </c>
      <c r="M192" s="219"/>
      <c r="N192" s="219"/>
      <c r="O192" s="216"/>
      <c r="P192" s="216"/>
      <c r="Q192" s="216"/>
      <c r="R192" s="220" t="s">
        <v>117</v>
      </c>
      <c r="S192" s="220" t="s">
        <v>292</v>
      </c>
      <c r="T192" s="220" t="s">
        <v>292</v>
      </c>
      <c r="U192" s="230"/>
      <c r="V192" s="231"/>
      <c r="W192" s="232"/>
      <c r="X192" s="233"/>
      <c r="Y192" s="216"/>
      <c r="Z192" s="216" t="s">
        <v>1053</v>
      </c>
    </row>
    <row r="193" spans="1:40" ht="15.75" thickBot="1">
      <c r="A193" s="225">
        <v>90</v>
      </c>
      <c r="B193" s="216"/>
      <c r="C193" s="216"/>
      <c r="D193" s="216"/>
      <c r="E193" s="216" t="s">
        <v>611</v>
      </c>
      <c r="F193" s="226" t="s">
        <v>613</v>
      </c>
      <c r="G193" s="227"/>
      <c r="H193" s="227"/>
      <c r="I193" s="216"/>
      <c r="J193" s="225">
        <v>4400</v>
      </c>
      <c r="K193" s="228">
        <v>2.1643518518518518E-3</v>
      </c>
      <c r="L193" s="225" t="s">
        <v>459</v>
      </c>
      <c r="M193" s="219"/>
      <c r="N193" s="219"/>
      <c r="O193" s="216"/>
      <c r="P193" s="216"/>
      <c r="Q193" s="216"/>
      <c r="R193" s="220"/>
      <c r="S193" s="220"/>
      <c r="T193" s="220"/>
      <c r="U193" s="230"/>
      <c r="V193" s="231"/>
      <c r="W193" s="232"/>
      <c r="X193" s="233"/>
      <c r="Y193" s="219"/>
      <c r="Z193" s="219"/>
    </row>
    <row r="194" spans="1:40" ht="15.75" thickBot="1">
      <c r="A194" s="225">
        <v>91</v>
      </c>
      <c r="B194" s="219" t="s">
        <v>118</v>
      </c>
      <c r="C194" s="216"/>
      <c r="D194" s="216" t="s">
        <v>120</v>
      </c>
      <c r="E194" s="216" t="s">
        <v>616</v>
      </c>
      <c r="F194" s="226" t="s">
        <v>617</v>
      </c>
      <c r="G194" s="227"/>
      <c r="H194" s="227"/>
      <c r="I194" s="216"/>
      <c r="J194" s="225">
        <v>44000</v>
      </c>
      <c r="K194" s="228">
        <v>2.4074074074074071E-2</v>
      </c>
      <c r="L194" s="225" t="s">
        <v>459</v>
      </c>
      <c r="M194" s="219"/>
      <c r="N194" s="219"/>
      <c r="O194" s="216"/>
      <c r="P194" s="239">
        <v>43008</v>
      </c>
      <c r="Q194" s="216"/>
      <c r="R194" s="216"/>
      <c r="S194" s="216"/>
      <c r="T194" s="216"/>
      <c r="U194" s="216"/>
      <c r="V194" s="216"/>
      <c r="W194" s="216"/>
      <c r="X194" s="233"/>
      <c r="Y194" s="216"/>
      <c r="Z194" s="216"/>
      <c r="AA194" s="51"/>
      <c r="AB194" s="51"/>
      <c r="AC194" s="94"/>
      <c r="AD194" s="94"/>
      <c r="AE194" s="94"/>
      <c r="AF194" s="94"/>
      <c r="AG194" s="94"/>
      <c r="AH194" s="94"/>
      <c r="AI194" s="94"/>
      <c r="AJ194" s="94"/>
      <c r="AK194" s="94"/>
      <c r="AL194" s="94"/>
      <c r="AM194" s="94"/>
      <c r="AN194" s="94"/>
    </row>
    <row r="195" spans="1:40" ht="15.75" thickBot="1">
      <c r="A195" s="225">
        <v>91.01</v>
      </c>
      <c r="B195" s="219" t="s">
        <v>118</v>
      </c>
      <c r="C195" s="216"/>
      <c r="D195" s="216" t="s">
        <v>120</v>
      </c>
      <c r="E195" s="216"/>
      <c r="F195" s="227"/>
      <c r="G195" s="219" t="s">
        <v>943</v>
      </c>
      <c r="H195" s="227" t="s">
        <v>944</v>
      </c>
      <c r="I195" s="216"/>
      <c r="J195" s="216"/>
      <c r="K195" s="219"/>
      <c r="L195" s="225"/>
      <c r="M195" s="228">
        <v>1.0532407407407407E-3</v>
      </c>
      <c r="N195" s="228">
        <v>2.7777777777777779E-3</v>
      </c>
      <c r="O195" s="228">
        <v>1.7245370370370372E-3</v>
      </c>
      <c r="P195" s="229">
        <v>43008</v>
      </c>
      <c r="Q195" s="218" t="s">
        <v>2315</v>
      </c>
      <c r="R195" s="220" t="s">
        <v>94</v>
      </c>
      <c r="S195" s="220" t="s">
        <v>94</v>
      </c>
      <c r="T195" s="220" t="s">
        <v>94</v>
      </c>
      <c r="U195" s="230"/>
      <c r="V195" s="231"/>
      <c r="W195" s="232"/>
      <c r="X195" s="233"/>
      <c r="Y195" s="216"/>
      <c r="Z195" s="216"/>
      <c r="AA195" s="82"/>
      <c r="AB195" s="82"/>
      <c r="AC195" s="82"/>
      <c r="AD195" s="82"/>
      <c r="AE195" s="82"/>
      <c r="AF195" s="82"/>
      <c r="AG195" s="82"/>
      <c r="AH195" s="82"/>
      <c r="AI195" s="82"/>
      <c r="AJ195" s="82"/>
      <c r="AK195" s="82"/>
      <c r="AL195" s="82"/>
      <c r="AM195" s="82"/>
      <c r="AN195" s="82"/>
    </row>
    <row r="196" spans="1:40" ht="15.75" thickBot="1">
      <c r="A196" s="225">
        <v>91.02</v>
      </c>
      <c r="B196" s="219" t="s">
        <v>118</v>
      </c>
      <c r="C196" s="216"/>
      <c r="D196" s="216" t="s">
        <v>120</v>
      </c>
      <c r="E196" s="216"/>
      <c r="F196" s="227"/>
      <c r="G196" s="219" t="s">
        <v>947</v>
      </c>
      <c r="H196" s="227" t="s">
        <v>948</v>
      </c>
      <c r="I196" s="216"/>
      <c r="J196" s="216"/>
      <c r="K196" s="219"/>
      <c r="L196" s="225"/>
      <c r="M196" s="228">
        <v>2.7893518518518519E-3</v>
      </c>
      <c r="N196" s="228">
        <v>3.9699074074074072E-3</v>
      </c>
      <c r="O196" s="228">
        <v>1.1805555555555556E-3</v>
      </c>
      <c r="P196" s="229">
        <v>43008</v>
      </c>
      <c r="Q196" s="218" t="s">
        <v>2316</v>
      </c>
      <c r="R196" s="220" t="s">
        <v>94</v>
      </c>
      <c r="S196" s="220" t="s">
        <v>94</v>
      </c>
      <c r="T196" s="220" t="s">
        <v>94</v>
      </c>
      <c r="U196" s="230"/>
      <c r="V196" s="231"/>
      <c r="W196" s="232"/>
      <c r="X196" s="233"/>
      <c r="Y196" s="216"/>
      <c r="Z196" s="216"/>
      <c r="AA196" s="82"/>
      <c r="AB196" s="82"/>
      <c r="AC196" s="82"/>
      <c r="AD196" s="82"/>
      <c r="AE196" s="82"/>
      <c r="AF196" s="82"/>
      <c r="AG196" s="82"/>
      <c r="AH196" s="82"/>
      <c r="AI196" s="82"/>
      <c r="AJ196" s="82"/>
      <c r="AK196" s="82"/>
      <c r="AL196" s="82"/>
      <c r="AM196" s="82"/>
      <c r="AN196" s="82"/>
    </row>
    <row r="197" spans="1:40" ht="15.75" thickBot="1">
      <c r="A197" s="225">
        <v>91.03</v>
      </c>
      <c r="B197" s="219" t="s">
        <v>118</v>
      </c>
      <c r="C197" s="216"/>
      <c r="D197" s="216" t="s">
        <v>120</v>
      </c>
      <c r="E197" s="216"/>
      <c r="F197" s="227"/>
      <c r="G197" s="219" t="s">
        <v>951</v>
      </c>
      <c r="H197" s="227" t="s">
        <v>952</v>
      </c>
      <c r="I197" s="216"/>
      <c r="J197" s="216"/>
      <c r="K197" s="219"/>
      <c r="L197" s="225"/>
      <c r="M197" s="228">
        <v>3.9699074074074072E-3</v>
      </c>
      <c r="N197" s="228">
        <v>1.045138888888889E-2</v>
      </c>
      <c r="O197" s="228">
        <v>6.4814814814814813E-3</v>
      </c>
      <c r="P197" s="229">
        <v>43008</v>
      </c>
      <c r="Q197" s="218" t="s">
        <v>2317</v>
      </c>
      <c r="R197" s="220" t="s">
        <v>94</v>
      </c>
      <c r="S197" s="220" t="s">
        <v>94</v>
      </c>
      <c r="T197" s="220" t="s">
        <v>94</v>
      </c>
      <c r="U197" s="230"/>
      <c r="V197" s="231"/>
      <c r="W197" s="232"/>
      <c r="X197" s="233"/>
      <c r="Y197" s="219"/>
      <c r="Z197" s="238" t="s">
        <v>953</v>
      </c>
      <c r="AA197" s="82"/>
      <c r="AB197" s="82"/>
      <c r="AC197" s="82"/>
      <c r="AD197" s="82"/>
      <c r="AE197" s="82"/>
      <c r="AF197" s="82"/>
      <c r="AG197" s="82"/>
      <c r="AH197" s="82"/>
      <c r="AI197" s="82"/>
      <c r="AJ197" s="82"/>
      <c r="AK197" s="82"/>
      <c r="AL197" s="82"/>
      <c r="AM197" s="82"/>
      <c r="AN197" s="82"/>
    </row>
    <row r="198" spans="1:40" ht="15.75" thickBot="1">
      <c r="A198" s="225">
        <v>91.04</v>
      </c>
      <c r="B198" s="219" t="s">
        <v>118</v>
      </c>
      <c r="C198" s="216"/>
      <c r="D198" s="216" t="s">
        <v>120</v>
      </c>
      <c r="E198" s="216"/>
      <c r="F198" s="227"/>
      <c r="G198" s="219" t="s">
        <v>956</v>
      </c>
      <c r="H198" s="227" t="s">
        <v>957</v>
      </c>
      <c r="I198" s="216"/>
      <c r="J198" s="216"/>
      <c r="K198" s="219"/>
      <c r="L198" s="225"/>
      <c r="M198" s="228">
        <v>1.045138888888889E-2</v>
      </c>
      <c r="N198" s="228">
        <v>1.3020833333333334E-2</v>
      </c>
      <c r="O198" s="228">
        <v>2.5694444444444445E-3</v>
      </c>
      <c r="P198" s="229">
        <v>43008</v>
      </c>
      <c r="Q198" s="218" t="s">
        <v>2318</v>
      </c>
      <c r="R198" s="220" t="s">
        <v>94</v>
      </c>
      <c r="S198" s="220" t="s">
        <v>94</v>
      </c>
      <c r="T198" s="220" t="s">
        <v>94</v>
      </c>
      <c r="U198" s="230"/>
      <c r="V198" s="231"/>
      <c r="W198" s="232"/>
      <c r="X198" s="233"/>
      <c r="Y198" s="216"/>
      <c r="Z198" s="216"/>
      <c r="AA198" s="82"/>
      <c r="AB198" s="82"/>
      <c r="AC198" s="82"/>
      <c r="AD198" s="82"/>
      <c r="AE198" s="82"/>
      <c r="AF198" s="82"/>
      <c r="AG198" s="82"/>
      <c r="AH198" s="82"/>
      <c r="AI198" s="82"/>
      <c r="AJ198" s="82"/>
      <c r="AK198" s="82"/>
      <c r="AL198" s="82"/>
      <c r="AM198" s="82"/>
      <c r="AN198" s="82"/>
    </row>
    <row r="199" spans="1:40" ht="15.75" thickBot="1">
      <c r="A199" s="225">
        <v>91.05</v>
      </c>
      <c r="B199" s="219" t="s">
        <v>118</v>
      </c>
      <c r="C199" s="216"/>
      <c r="D199" s="216" t="s">
        <v>120</v>
      </c>
      <c r="E199" s="216"/>
      <c r="F199" s="227"/>
      <c r="G199" s="219" t="s">
        <v>958</v>
      </c>
      <c r="H199" s="227" t="s">
        <v>959</v>
      </c>
      <c r="I199" s="216"/>
      <c r="J199" s="216"/>
      <c r="K199" s="219"/>
      <c r="L199" s="225"/>
      <c r="M199" s="228">
        <v>1.3553240740740741E-2</v>
      </c>
      <c r="N199" s="228">
        <v>1.5891203703703703E-2</v>
      </c>
      <c r="O199" s="228">
        <v>2.3379629629629631E-3</v>
      </c>
      <c r="P199" s="229">
        <v>43008</v>
      </c>
      <c r="Q199" s="218" t="s">
        <v>2319</v>
      </c>
      <c r="R199" s="220" t="s">
        <v>94</v>
      </c>
      <c r="S199" s="220" t="s">
        <v>94</v>
      </c>
      <c r="T199" s="220" t="s">
        <v>94</v>
      </c>
      <c r="U199" s="230"/>
      <c r="V199" s="231"/>
      <c r="W199" s="232"/>
      <c r="X199" s="233"/>
      <c r="Y199" s="216"/>
      <c r="Z199" s="216"/>
      <c r="AA199" s="82"/>
      <c r="AB199" s="82"/>
      <c r="AC199" s="82"/>
      <c r="AD199" s="82"/>
      <c r="AE199" s="82"/>
      <c r="AF199" s="82"/>
      <c r="AG199" s="82"/>
      <c r="AH199" s="82"/>
      <c r="AI199" s="82"/>
      <c r="AJ199" s="82"/>
      <c r="AK199" s="82"/>
      <c r="AL199" s="82"/>
      <c r="AM199" s="82"/>
      <c r="AN199" s="82"/>
    </row>
    <row r="200" spans="1:40" ht="15.75" thickBot="1">
      <c r="A200" s="225">
        <v>91.06</v>
      </c>
      <c r="B200" s="219" t="s">
        <v>118</v>
      </c>
      <c r="C200" s="216"/>
      <c r="D200" s="216" t="s">
        <v>120</v>
      </c>
      <c r="E200" s="216"/>
      <c r="F200" s="227"/>
      <c r="G200" s="219" t="s">
        <v>962</v>
      </c>
      <c r="H200" s="227" t="s">
        <v>963</v>
      </c>
      <c r="I200" s="216"/>
      <c r="J200" s="216"/>
      <c r="K200" s="219"/>
      <c r="L200" s="225"/>
      <c r="M200" s="228">
        <v>1.5891203703703703E-2</v>
      </c>
      <c r="N200" s="228">
        <v>1.6828703703703703E-2</v>
      </c>
      <c r="O200" s="228">
        <v>9.3750000000000007E-4</v>
      </c>
      <c r="P200" s="229">
        <v>43008</v>
      </c>
      <c r="Q200" s="218" t="s">
        <v>2320</v>
      </c>
      <c r="R200" s="220" t="s">
        <v>94</v>
      </c>
      <c r="S200" s="220" t="s">
        <v>94</v>
      </c>
      <c r="T200" s="220" t="s">
        <v>94</v>
      </c>
      <c r="U200" s="230"/>
      <c r="V200" s="231"/>
      <c r="W200" s="232"/>
      <c r="X200" s="233"/>
      <c r="Y200" s="216"/>
      <c r="Z200" s="216"/>
      <c r="AA200" s="82"/>
      <c r="AB200" s="82"/>
      <c r="AC200" s="82"/>
      <c r="AD200" s="82"/>
      <c r="AE200" s="82"/>
      <c r="AF200" s="82"/>
      <c r="AG200" s="82"/>
      <c r="AH200" s="82"/>
      <c r="AI200" s="82"/>
      <c r="AJ200" s="82"/>
      <c r="AK200" s="82"/>
      <c r="AL200" s="82"/>
      <c r="AM200" s="82"/>
      <c r="AN200" s="82"/>
    </row>
    <row r="201" spans="1:40" ht="15.75" thickBot="1">
      <c r="A201" s="225">
        <v>91.07</v>
      </c>
      <c r="B201" s="219" t="s">
        <v>118</v>
      </c>
      <c r="C201" s="216"/>
      <c r="D201" s="216" t="s">
        <v>120</v>
      </c>
      <c r="E201" s="216"/>
      <c r="F201" s="227"/>
      <c r="G201" s="219" t="s">
        <v>966</v>
      </c>
      <c r="H201" s="227" t="s">
        <v>967</v>
      </c>
      <c r="I201" s="216"/>
      <c r="J201" s="216"/>
      <c r="K201" s="219"/>
      <c r="L201" s="225"/>
      <c r="M201" s="228">
        <v>1.6909722222222225E-2</v>
      </c>
      <c r="N201" s="228">
        <v>2.2268518518518521E-2</v>
      </c>
      <c r="O201" s="228">
        <v>5.3587962962962964E-3</v>
      </c>
      <c r="P201" s="229">
        <v>43008</v>
      </c>
      <c r="Q201" s="218" t="s">
        <v>2321</v>
      </c>
      <c r="R201" s="220" t="s">
        <v>94</v>
      </c>
      <c r="S201" s="220" t="s">
        <v>94</v>
      </c>
      <c r="T201" s="220" t="s">
        <v>94</v>
      </c>
      <c r="U201" s="230"/>
      <c r="V201" s="231"/>
      <c r="W201" s="232"/>
      <c r="X201" s="233"/>
      <c r="Y201" s="216"/>
      <c r="Z201" s="216"/>
      <c r="AA201" s="82"/>
      <c r="AB201" s="82"/>
      <c r="AC201" s="82"/>
      <c r="AD201" s="82"/>
      <c r="AE201" s="82"/>
      <c r="AF201" s="82"/>
      <c r="AG201" s="82"/>
      <c r="AH201" s="82"/>
      <c r="AI201" s="82"/>
      <c r="AJ201" s="82"/>
      <c r="AK201" s="82"/>
      <c r="AL201" s="82"/>
      <c r="AM201" s="82"/>
      <c r="AN201" s="82"/>
    </row>
    <row r="202" spans="1:40" ht="15.75" thickBot="1">
      <c r="A202" s="225">
        <v>92</v>
      </c>
      <c r="B202" s="216"/>
      <c r="C202" s="216"/>
      <c r="D202" s="216"/>
      <c r="E202" s="216" t="s">
        <v>621</v>
      </c>
      <c r="F202" s="226" t="s">
        <v>622</v>
      </c>
      <c r="G202" s="227"/>
      <c r="H202" s="227"/>
      <c r="I202" s="216"/>
      <c r="J202" s="225">
        <v>6300</v>
      </c>
      <c r="K202" s="228">
        <v>2.6006944444444447E-2</v>
      </c>
      <c r="L202" s="225" t="s">
        <v>459</v>
      </c>
      <c r="M202" s="219"/>
      <c r="N202" s="219"/>
      <c r="O202" s="216"/>
      <c r="P202" s="216"/>
      <c r="Q202" s="216"/>
      <c r="R202" s="220"/>
      <c r="S202" s="220"/>
      <c r="T202" s="220"/>
      <c r="U202" s="230"/>
      <c r="V202" s="231"/>
      <c r="W202" s="232"/>
      <c r="X202" s="233"/>
      <c r="Y202" s="219"/>
      <c r="Z202" s="219"/>
    </row>
    <row r="203" spans="1:40" ht="15.75" thickBot="1">
      <c r="A203" s="225">
        <v>93</v>
      </c>
      <c r="B203" s="216"/>
      <c r="C203" s="216"/>
      <c r="D203" s="216"/>
      <c r="E203" s="216" t="s">
        <v>625</v>
      </c>
      <c r="F203" s="226" t="s">
        <v>626</v>
      </c>
      <c r="G203" s="227"/>
      <c r="H203" s="227"/>
      <c r="I203" s="216"/>
      <c r="J203" s="225">
        <v>986</v>
      </c>
      <c r="K203" s="228">
        <v>3.5682870370370372E-2</v>
      </c>
      <c r="L203" s="225" t="s">
        <v>459</v>
      </c>
      <c r="M203" s="219"/>
      <c r="N203" s="219"/>
      <c r="O203" s="216"/>
      <c r="P203" s="216"/>
      <c r="Q203" s="216"/>
      <c r="R203" s="220"/>
      <c r="S203" s="220"/>
      <c r="T203" s="220"/>
      <c r="U203" s="230"/>
      <c r="V203" s="231"/>
      <c r="W203" s="232"/>
      <c r="X203" s="233"/>
      <c r="Y203" s="219"/>
      <c r="Z203" s="219"/>
    </row>
    <row r="204" spans="1:40" ht="15.75" thickBot="1">
      <c r="A204" s="225">
        <v>94</v>
      </c>
      <c r="B204" s="219" t="s">
        <v>97</v>
      </c>
      <c r="C204" s="216"/>
      <c r="D204" s="219" t="s">
        <v>120</v>
      </c>
      <c r="E204" s="216" t="s">
        <v>631</v>
      </c>
      <c r="F204" s="226" t="s">
        <v>632</v>
      </c>
      <c r="G204" s="227"/>
      <c r="H204" s="227"/>
      <c r="I204" s="216"/>
      <c r="J204" s="225">
        <v>2500</v>
      </c>
      <c r="K204" s="228">
        <v>6.6493055555555555E-2</v>
      </c>
      <c r="L204" s="225" t="s">
        <v>459</v>
      </c>
      <c r="M204" s="219"/>
      <c r="N204" s="219"/>
      <c r="O204" s="216"/>
      <c r="P204" s="229">
        <v>43010</v>
      </c>
      <c r="Q204" s="216"/>
      <c r="R204" s="220"/>
      <c r="S204" s="220"/>
      <c r="T204" s="220"/>
      <c r="U204" s="230"/>
      <c r="V204" s="231"/>
      <c r="W204" s="232"/>
      <c r="X204" s="233"/>
      <c r="Y204" s="219"/>
      <c r="Z204" s="219"/>
    </row>
    <row r="205" spans="1:40" ht="15.75" thickBot="1">
      <c r="A205" s="244">
        <v>94.01</v>
      </c>
      <c r="B205" s="219" t="s">
        <v>97</v>
      </c>
      <c r="C205" s="216"/>
      <c r="D205" s="219" t="s">
        <v>120</v>
      </c>
      <c r="E205" s="219"/>
      <c r="F205" s="219"/>
      <c r="G205" s="238" t="s">
        <v>668</v>
      </c>
      <c r="H205" s="219"/>
      <c r="I205" s="219"/>
      <c r="J205" s="219"/>
      <c r="K205" s="219"/>
      <c r="L205" s="219"/>
      <c r="M205" s="228">
        <v>1.0462962962962964E-2</v>
      </c>
      <c r="N205" s="228">
        <v>1.6423611111111111E-2</v>
      </c>
      <c r="O205" s="228">
        <v>5.9606481481481489E-3</v>
      </c>
      <c r="P205" s="243">
        <v>43010</v>
      </c>
      <c r="Q205" s="226" t="s">
        <v>2322</v>
      </c>
      <c r="R205" s="240"/>
      <c r="S205" s="240"/>
      <c r="T205" s="240"/>
      <c r="U205" s="230"/>
      <c r="V205" s="231"/>
      <c r="W205" s="242"/>
      <c r="X205" s="233"/>
      <c r="Y205" s="219"/>
      <c r="Z205" s="219"/>
    </row>
    <row r="206" spans="1:40" ht="15.75" thickBot="1">
      <c r="A206" s="244">
        <v>94.02</v>
      </c>
      <c r="B206" s="219" t="s">
        <v>97</v>
      </c>
      <c r="C206" s="216"/>
      <c r="D206" s="219" t="s">
        <v>120</v>
      </c>
      <c r="E206" s="219"/>
      <c r="F206" s="219"/>
      <c r="G206" s="219" t="s">
        <v>670</v>
      </c>
      <c r="H206" s="238" t="s">
        <v>671</v>
      </c>
      <c r="I206" s="219"/>
      <c r="J206" s="219"/>
      <c r="K206" s="219"/>
      <c r="L206" s="219"/>
      <c r="M206" s="228">
        <v>1.9780092592592592E-2</v>
      </c>
      <c r="N206" s="228">
        <v>2.1412037037037035E-2</v>
      </c>
      <c r="O206" s="228">
        <v>1.6319444444444445E-3</v>
      </c>
      <c r="P206" s="243">
        <v>43010</v>
      </c>
      <c r="Q206" s="226" t="s">
        <v>2323</v>
      </c>
      <c r="R206" s="240"/>
      <c r="S206" s="240"/>
      <c r="T206" s="240"/>
      <c r="U206" s="230"/>
      <c r="V206" s="231"/>
      <c r="W206" s="242"/>
      <c r="X206" s="233"/>
      <c r="Y206" s="219"/>
      <c r="Z206" s="219"/>
    </row>
    <row r="207" spans="1:40" ht="15.75" thickBot="1">
      <c r="A207" s="244">
        <v>94.03</v>
      </c>
      <c r="B207" s="219" t="s">
        <v>97</v>
      </c>
      <c r="C207" s="216"/>
      <c r="D207" s="219" t="s">
        <v>120</v>
      </c>
      <c r="E207" s="219"/>
      <c r="F207" s="219"/>
      <c r="G207" s="219" t="s">
        <v>674</v>
      </c>
      <c r="H207" s="219"/>
      <c r="I207" s="219"/>
      <c r="J207" s="219"/>
      <c r="K207" s="219"/>
      <c r="L207" s="219"/>
      <c r="M207" s="228">
        <v>2.7141203703703706E-2</v>
      </c>
      <c r="N207" s="228">
        <v>2.8240740740740736E-2</v>
      </c>
      <c r="O207" s="228">
        <v>1.0995370370370371E-3</v>
      </c>
      <c r="P207" s="243">
        <v>43010</v>
      </c>
      <c r="Q207" s="226" t="s">
        <v>2324</v>
      </c>
      <c r="R207" s="240"/>
      <c r="S207" s="240"/>
      <c r="T207" s="240"/>
      <c r="U207" s="230"/>
      <c r="V207" s="231"/>
      <c r="W207" s="242"/>
      <c r="X207" s="233"/>
      <c r="Y207" s="219"/>
      <c r="Z207" s="219"/>
    </row>
    <row r="208" spans="1:40" ht="15.75" thickBot="1">
      <c r="A208" s="244">
        <v>94.04</v>
      </c>
      <c r="B208" s="219" t="s">
        <v>97</v>
      </c>
      <c r="C208" s="216"/>
      <c r="D208" s="219" t="s">
        <v>120</v>
      </c>
      <c r="E208" s="219"/>
      <c r="F208" s="219"/>
      <c r="G208" s="219" t="s">
        <v>677</v>
      </c>
      <c r="H208" s="219"/>
      <c r="I208" s="219"/>
      <c r="J208" s="219"/>
      <c r="K208" s="219"/>
      <c r="L208" s="219"/>
      <c r="M208" s="228">
        <v>2.8356481481481483E-2</v>
      </c>
      <c r="N208" s="228">
        <v>3.3217592592592597E-2</v>
      </c>
      <c r="O208" s="228">
        <v>4.8611111111111112E-3</v>
      </c>
      <c r="P208" s="243">
        <v>43010</v>
      </c>
      <c r="Q208" s="226" t="s">
        <v>2325</v>
      </c>
      <c r="R208" s="240"/>
      <c r="S208" s="240"/>
      <c r="T208" s="240"/>
      <c r="U208" s="230"/>
      <c r="V208" s="231"/>
      <c r="W208" s="242"/>
      <c r="X208" s="233"/>
      <c r="Y208" s="219"/>
      <c r="Z208" s="219"/>
    </row>
    <row r="209" spans="1:26" ht="15.75" thickBot="1">
      <c r="A209" s="244">
        <v>94.05</v>
      </c>
      <c r="B209" s="216" t="s">
        <v>97</v>
      </c>
      <c r="C209" s="216"/>
      <c r="D209" s="216" t="s">
        <v>120</v>
      </c>
      <c r="E209" s="219"/>
      <c r="F209" s="219"/>
      <c r="G209" s="238" t="s">
        <v>680</v>
      </c>
      <c r="H209" s="219"/>
      <c r="I209" s="219"/>
      <c r="J209" s="219"/>
      <c r="K209" s="219"/>
      <c r="L209" s="219"/>
      <c r="M209" s="228">
        <v>4.0902777777777781E-2</v>
      </c>
      <c r="N209" s="228">
        <v>4.6053240740740742E-2</v>
      </c>
      <c r="O209" s="228">
        <v>5.1504629629629635E-3</v>
      </c>
      <c r="P209" s="243">
        <v>43010</v>
      </c>
      <c r="Q209" s="226" t="s">
        <v>2326</v>
      </c>
      <c r="R209" s="240"/>
      <c r="S209" s="240"/>
      <c r="T209" s="240"/>
      <c r="U209" s="230"/>
      <c r="V209" s="231"/>
      <c r="W209" s="242"/>
      <c r="X209" s="233"/>
      <c r="Y209" s="219"/>
      <c r="Z209" s="219"/>
    </row>
    <row r="210" spans="1:26" ht="15.75" thickBot="1">
      <c r="A210" s="244">
        <v>94.06</v>
      </c>
      <c r="B210" s="216" t="s">
        <v>97</v>
      </c>
      <c r="C210" s="216"/>
      <c r="D210" s="216" t="s">
        <v>120</v>
      </c>
      <c r="E210" s="219"/>
      <c r="F210" s="219"/>
      <c r="G210" s="219" t="s">
        <v>683</v>
      </c>
      <c r="H210" s="238" t="s">
        <v>684</v>
      </c>
      <c r="I210" s="219"/>
      <c r="J210" s="219"/>
      <c r="K210" s="219"/>
      <c r="L210" s="219"/>
      <c r="M210" s="228">
        <v>4.7222222222222221E-2</v>
      </c>
      <c r="N210" s="228">
        <v>4.9421296296296297E-2</v>
      </c>
      <c r="O210" s="228">
        <v>2.1990740740740742E-3</v>
      </c>
      <c r="P210" s="243">
        <v>43010</v>
      </c>
      <c r="Q210" s="226" t="s">
        <v>2327</v>
      </c>
      <c r="R210" s="240"/>
      <c r="S210" s="240"/>
      <c r="T210" s="240"/>
      <c r="U210" s="230"/>
      <c r="V210" s="231"/>
      <c r="W210" s="242"/>
      <c r="X210" s="233"/>
      <c r="Y210" s="219"/>
      <c r="Z210" s="219"/>
    </row>
    <row r="211" spans="1:26" ht="15.75" thickBot="1">
      <c r="A211" s="244">
        <v>94.07</v>
      </c>
      <c r="B211" s="216" t="s">
        <v>97</v>
      </c>
      <c r="C211" s="216"/>
      <c r="D211" s="216" t="s">
        <v>120</v>
      </c>
      <c r="E211" s="219"/>
      <c r="F211" s="219"/>
      <c r="G211" s="238" t="s">
        <v>687</v>
      </c>
      <c r="H211" s="219"/>
      <c r="I211" s="219"/>
      <c r="J211" s="219"/>
      <c r="K211" s="219"/>
      <c r="L211" s="219"/>
      <c r="M211" s="228">
        <v>5.2199074074074071E-2</v>
      </c>
      <c r="N211" s="228">
        <v>5.3703703703703698E-2</v>
      </c>
      <c r="O211" s="228">
        <v>1.5046296296296294E-3</v>
      </c>
      <c r="P211" s="243">
        <v>43010</v>
      </c>
      <c r="Q211" s="226" t="s">
        <v>2328</v>
      </c>
      <c r="R211" s="240"/>
      <c r="S211" s="240"/>
      <c r="T211" s="240"/>
      <c r="U211" s="230"/>
      <c r="V211" s="231"/>
      <c r="W211" s="242"/>
      <c r="X211" s="233"/>
      <c r="Y211" s="219"/>
      <c r="Z211" s="219"/>
    </row>
    <row r="212" spans="1:26" ht="15.75" thickBot="1">
      <c r="A212" s="244">
        <v>94.08</v>
      </c>
      <c r="B212" s="216" t="s">
        <v>97</v>
      </c>
      <c r="C212" s="216"/>
      <c r="D212" s="216" t="s">
        <v>120</v>
      </c>
      <c r="E212" s="219"/>
      <c r="F212" s="219"/>
      <c r="G212" s="219" t="s">
        <v>691</v>
      </c>
      <c r="H212" s="238" t="s">
        <v>692</v>
      </c>
      <c r="I212" s="219"/>
      <c r="J212" s="219"/>
      <c r="K212" s="219"/>
      <c r="L212" s="219"/>
      <c r="M212" s="228">
        <v>5.376157407407408E-2</v>
      </c>
      <c r="N212" s="228">
        <v>5.649305555555556E-2</v>
      </c>
      <c r="O212" s="228">
        <v>2.7314814814814819E-3</v>
      </c>
      <c r="P212" s="243">
        <v>43010</v>
      </c>
      <c r="Q212" s="226" t="s">
        <v>2329</v>
      </c>
      <c r="R212" s="240"/>
      <c r="S212" s="240"/>
      <c r="T212" s="240"/>
      <c r="U212" s="230"/>
      <c r="V212" s="231"/>
      <c r="W212" s="242"/>
      <c r="X212" s="233"/>
      <c r="Y212" s="219"/>
      <c r="Z212" s="219"/>
    </row>
    <row r="213" spans="1:26" ht="15.75" thickBot="1">
      <c r="A213" s="244">
        <v>94.09</v>
      </c>
      <c r="B213" s="216" t="s">
        <v>97</v>
      </c>
      <c r="C213" s="216"/>
      <c r="D213" s="216" t="s">
        <v>120</v>
      </c>
      <c r="E213" s="219"/>
      <c r="F213" s="219"/>
      <c r="G213" s="238" t="s">
        <v>695</v>
      </c>
      <c r="H213" s="219"/>
      <c r="I213" s="219"/>
      <c r="J213" s="219"/>
      <c r="K213" s="219"/>
      <c r="L213" s="219"/>
      <c r="M213" s="228">
        <v>5.6539351851851855E-2</v>
      </c>
      <c r="N213" s="228">
        <v>5.7060185185185186E-2</v>
      </c>
      <c r="O213" s="228">
        <v>5.2083333333333333E-4</v>
      </c>
      <c r="P213" s="243">
        <v>43010</v>
      </c>
      <c r="Q213" s="226" t="s">
        <v>2330</v>
      </c>
      <c r="R213" s="240"/>
      <c r="S213" s="240"/>
      <c r="T213" s="240"/>
      <c r="U213" s="230"/>
      <c r="V213" s="231"/>
      <c r="W213" s="242"/>
      <c r="X213" s="233"/>
      <c r="Y213" s="219"/>
      <c r="Z213" s="219"/>
    </row>
    <row r="214" spans="1:26" ht="15.75" thickBot="1">
      <c r="A214" s="244">
        <v>94.1</v>
      </c>
      <c r="B214" s="216" t="s">
        <v>97</v>
      </c>
      <c r="C214" s="216"/>
      <c r="D214" s="216" t="s">
        <v>120</v>
      </c>
      <c r="E214" s="219"/>
      <c r="F214" s="219"/>
      <c r="G214" s="238" t="s">
        <v>700</v>
      </c>
      <c r="H214" s="219"/>
      <c r="I214" s="219"/>
      <c r="J214" s="219"/>
      <c r="K214" s="219"/>
      <c r="L214" s="219"/>
      <c r="M214" s="228">
        <v>5.7175925925925929E-2</v>
      </c>
      <c r="N214" s="228">
        <v>6.128472222222222E-2</v>
      </c>
      <c r="O214" s="228">
        <v>4.108796296296297E-3</v>
      </c>
      <c r="P214" s="243">
        <v>43010</v>
      </c>
      <c r="Q214" s="226" t="s">
        <v>2331</v>
      </c>
      <c r="R214" s="240"/>
      <c r="S214" s="240"/>
      <c r="T214" s="240"/>
      <c r="U214" s="230"/>
      <c r="V214" s="231"/>
      <c r="W214" s="242"/>
      <c r="X214" s="233"/>
      <c r="Y214" s="219"/>
      <c r="Z214" s="219"/>
    </row>
    <row r="215" spans="1:26" ht="15.75" thickBot="1">
      <c r="A215" s="225">
        <v>95</v>
      </c>
      <c r="B215" s="216"/>
      <c r="C215" s="216"/>
      <c r="D215" s="216"/>
      <c r="E215" s="216" t="s">
        <v>634</v>
      </c>
      <c r="F215" s="226" t="s">
        <v>635</v>
      </c>
      <c r="G215" s="227"/>
      <c r="H215" s="227"/>
      <c r="I215" s="216"/>
      <c r="J215" s="225">
        <v>1500</v>
      </c>
      <c r="K215" s="228">
        <v>5.9027777777777776E-3</v>
      </c>
      <c r="L215" s="225" t="s">
        <v>459</v>
      </c>
      <c r="M215" s="219"/>
      <c r="N215" s="219"/>
      <c r="O215" s="216"/>
      <c r="P215" s="216"/>
      <c r="Q215" s="216"/>
      <c r="R215" s="220"/>
      <c r="S215" s="220"/>
      <c r="T215" s="220"/>
      <c r="U215" s="230"/>
      <c r="V215" s="231"/>
      <c r="W215" s="232"/>
      <c r="X215" s="233"/>
      <c r="Y215" s="219"/>
      <c r="Z215" s="219"/>
    </row>
    <row r="216" spans="1:26" ht="15.75" thickBot="1">
      <c r="A216" s="225">
        <v>96</v>
      </c>
      <c r="B216" s="216"/>
      <c r="C216" s="216"/>
      <c r="D216" s="216"/>
      <c r="E216" s="216" t="s">
        <v>638</v>
      </c>
      <c r="F216" s="226" t="s">
        <v>640</v>
      </c>
      <c r="G216" s="227"/>
      <c r="H216" s="227"/>
      <c r="I216" s="216"/>
      <c r="J216" s="225">
        <v>1200</v>
      </c>
      <c r="K216" s="228">
        <v>1.1655092592592594E-2</v>
      </c>
      <c r="L216" s="225" t="s">
        <v>459</v>
      </c>
      <c r="M216" s="219"/>
      <c r="N216" s="219"/>
      <c r="O216" s="216"/>
      <c r="P216" s="216"/>
      <c r="Q216" s="216"/>
      <c r="R216" s="220"/>
      <c r="S216" s="220"/>
      <c r="T216" s="220"/>
      <c r="U216" s="230"/>
      <c r="V216" s="231"/>
      <c r="W216" s="232"/>
      <c r="X216" s="233"/>
      <c r="Y216" s="219"/>
      <c r="Z216" s="219"/>
    </row>
    <row r="217" spans="1:26" ht="15.75" thickBot="1">
      <c r="A217" s="225">
        <v>97</v>
      </c>
      <c r="B217" s="216"/>
      <c r="C217" s="216"/>
      <c r="D217" s="216"/>
      <c r="E217" s="216" t="s">
        <v>644</v>
      </c>
      <c r="F217" s="226" t="s">
        <v>645</v>
      </c>
      <c r="G217" s="227"/>
      <c r="H217" s="227"/>
      <c r="I217" s="216"/>
      <c r="J217" s="225">
        <v>1900</v>
      </c>
      <c r="K217" s="228">
        <v>2.1087962962962961E-2</v>
      </c>
      <c r="L217" s="225" t="s">
        <v>459</v>
      </c>
      <c r="M217" s="219"/>
      <c r="N217" s="219"/>
      <c r="O217" s="216"/>
      <c r="P217" s="216"/>
      <c r="Q217" s="216"/>
      <c r="R217" s="220"/>
      <c r="S217" s="220"/>
      <c r="T217" s="220"/>
      <c r="U217" s="230"/>
      <c r="V217" s="231"/>
      <c r="W217" s="232"/>
      <c r="X217" s="233"/>
      <c r="Y217" s="219"/>
      <c r="Z217" s="219"/>
    </row>
    <row r="218" spans="1:26" ht="15.75" thickBot="1">
      <c r="A218" s="225">
        <v>98</v>
      </c>
      <c r="B218" s="216"/>
      <c r="C218" s="216"/>
      <c r="D218" s="216"/>
      <c r="E218" s="216" t="s">
        <v>650</v>
      </c>
      <c r="F218" s="226" t="s">
        <v>651</v>
      </c>
      <c r="G218" s="227"/>
      <c r="H218" s="227"/>
      <c r="I218" s="216"/>
      <c r="J218" s="225">
        <v>2300</v>
      </c>
      <c r="K218" s="228">
        <v>3.4467592592592591E-2</v>
      </c>
      <c r="L218" s="225" t="s">
        <v>459</v>
      </c>
      <c r="M218" s="219"/>
      <c r="N218" s="219"/>
      <c r="O218" s="216"/>
      <c r="P218" s="216"/>
      <c r="Q218" s="216"/>
      <c r="R218" s="220"/>
      <c r="S218" s="220"/>
      <c r="T218" s="220"/>
      <c r="U218" s="230"/>
      <c r="V218" s="231"/>
      <c r="W218" s="232"/>
      <c r="X218" s="233"/>
      <c r="Y218" s="219"/>
      <c r="Z218" s="219"/>
    </row>
    <row r="219" spans="1:26" ht="15.75" thickBot="1">
      <c r="A219" s="225">
        <v>99</v>
      </c>
      <c r="B219" s="216"/>
      <c r="C219" s="216"/>
      <c r="D219" s="216"/>
      <c r="E219" s="216" t="s">
        <v>656</v>
      </c>
      <c r="F219" s="226" t="s">
        <v>657</v>
      </c>
      <c r="G219" s="227"/>
      <c r="H219" s="227"/>
      <c r="I219" s="216"/>
      <c r="J219" s="225">
        <v>1400</v>
      </c>
      <c r="K219" s="228">
        <v>2.8483796296296295E-2</v>
      </c>
      <c r="L219" s="225" t="s">
        <v>459</v>
      </c>
      <c r="M219" s="219"/>
      <c r="N219" s="219"/>
      <c r="O219" s="216"/>
      <c r="P219" s="216"/>
      <c r="Q219" s="216"/>
      <c r="R219" s="220"/>
      <c r="S219" s="220"/>
      <c r="T219" s="220"/>
      <c r="U219" s="230"/>
      <c r="V219" s="231"/>
      <c r="W219" s="232"/>
      <c r="X219" s="233"/>
      <c r="Y219" s="219"/>
      <c r="Z219" s="219"/>
    </row>
    <row r="220" spans="1:26" ht="15.75" thickBot="1">
      <c r="A220" s="225">
        <v>100</v>
      </c>
      <c r="B220" s="216"/>
      <c r="C220" s="216"/>
      <c r="D220" s="216"/>
      <c r="E220" s="216" t="s">
        <v>660</v>
      </c>
      <c r="F220" s="226" t="s">
        <v>661</v>
      </c>
      <c r="G220" s="227"/>
      <c r="H220" s="227"/>
      <c r="I220" s="216"/>
      <c r="J220" s="225">
        <v>3700</v>
      </c>
      <c r="K220" s="228">
        <v>2.4837962962962964E-2</v>
      </c>
      <c r="L220" s="225" t="s">
        <v>459</v>
      </c>
      <c r="M220" s="219"/>
      <c r="N220" s="219"/>
      <c r="O220" s="216"/>
      <c r="P220" s="216"/>
      <c r="Q220" s="216"/>
      <c r="R220" s="220"/>
      <c r="S220" s="220"/>
      <c r="T220" s="220"/>
      <c r="U220" s="230"/>
      <c r="V220" s="231"/>
      <c r="W220" s="232"/>
      <c r="X220" s="233"/>
      <c r="Y220" s="219"/>
      <c r="Z220" s="219"/>
    </row>
    <row r="221" spans="1:26" ht="15.75" thickBot="1">
      <c r="A221" s="225">
        <v>101</v>
      </c>
      <c r="B221" s="216"/>
      <c r="C221" s="216"/>
      <c r="D221" s="216"/>
      <c r="E221" s="216" t="s">
        <v>665</v>
      </c>
      <c r="F221" s="226" t="s">
        <v>666</v>
      </c>
      <c r="G221" s="227"/>
      <c r="H221" s="227"/>
      <c r="I221" s="216"/>
      <c r="J221" s="225">
        <v>22000</v>
      </c>
      <c r="K221" s="228">
        <v>4.5879629629629631E-2</v>
      </c>
      <c r="L221" s="225" t="s">
        <v>459</v>
      </c>
      <c r="M221" s="219"/>
      <c r="N221" s="219"/>
      <c r="O221" s="216"/>
      <c r="P221" s="216"/>
      <c r="Q221" s="216"/>
      <c r="R221" s="220"/>
      <c r="S221" s="220"/>
      <c r="T221" s="220"/>
      <c r="U221" s="230"/>
      <c r="V221" s="231"/>
      <c r="W221" s="232"/>
      <c r="X221" s="233"/>
      <c r="Y221" s="219"/>
      <c r="Z221" s="219"/>
    </row>
    <row r="222" spans="1:26" ht="20.25" customHeight="1" thickBot="1">
      <c r="A222" s="225">
        <v>102</v>
      </c>
      <c r="B222" s="219" t="s">
        <v>97</v>
      </c>
      <c r="C222" s="216"/>
      <c r="D222" s="219" t="s">
        <v>120</v>
      </c>
      <c r="E222" s="216" t="s">
        <v>532</v>
      </c>
      <c r="F222" s="226" t="s">
        <v>533</v>
      </c>
      <c r="G222" s="227" t="s">
        <v>534</v>
      </c>
      <c r="H222" s="227" t="s">
        <v>2332</v>
      </c>
      <c r="I222" s="216"/>
      <c r="J222" s="225">
        <v>1300</v>
      </c>
      <c r="K222" s="228">
        <v>1.1990740740740739E-2</v>
      </c>
      <c r="L222" s="225" t="s">
        <v>459</v>
      </c>
      <c r="M222" s="219"/>
      <c r="N222" s="219"/>
      <c r="O222" s="216"/>
      <c r="P222" s="243">
        <v>43007</v>
      </c>
      <c r="Q222" s="216"/>
      <c r="R222" s="220" t="s">
        <v>94</v>
      </c>
      <c r="S222" s="220" t="s">
        <v>94</v>
      </c>
      <c r="T222" s="220" t="s">
        <v>94</v>
      </c>
      <c r="U222" s="230"/>
      <c r="V222" s="231"/>
      <c r="W222" s="232" t="s">
        <v>292</v>
      </c>
      <c r="X222" s="233"/>
      <c r="Y222" s="219"/>
      <c r="Z222" s="219" t="s">
        <v>538</v>
      </c>
    </row>
    <row r="223" spans="1:26" ht="15.75" thickBot="1">
      <c r="A223" s="225">
        <v>103</v>
      </c>
      <c r="B223" s="219" t="s">
        <v>97</v>
      </c>
      <c r="C223" s="216"/>
      <c r="D223" s="219" t="s">
        <v>120</v>
      </c>
      <c r="E223" s="216" t="s">
        <v>539</v>
      </c>
      <c r="F223" s="226" t="s">
        <v>540</v>
      </c>
      <c r="G223" s="227"/>
      <c r="H223" s="227"/>
      <c r="I223" s="216"/>
      <c r="J223" s="225">
        <v>7900</v>
      </c>
      <c r="K223" s="228">
        <v>9.7002314814814805E-2</v>
      </c>
      <c r="L223" s="225" t="s">
        <v>459</v>
      </c>
      <c r="M223" s="219"/>
      <c r="N223" s="219"/>
      <c r="O223" s="216"/>
      <c r="P223" s="243">
        <v>43007</v>
      </c>
      <c r="Q223" s="216"/>
      <c r="R223" s="220" t="s">
        <v>94</v>
      </c>
      <c r="S223" s="220" t="s">
        <v>94</v>
      </c>
      <c r="T223" s="220" t="s">
        <v>94</v>
      </c>
      <c r="U223" s="230"/>
      <c r="V223" s="231"/>
      <c r="W223" s="232" t="s">
        <v>292</v>
      </c>
      <c r="X223" s="233"/>
      <c r="Y223" s="219"/>
      <c r="Z223" s="219"/>
    </row>
    <row r="224" spans="1:26" ht="15.75" thickBot="1">
      <c r="A224" s="225">
        <v>103.01</v>
      </c>
      <c r="B224" s="219" t="s">
        <v>97</v>
      </c>
      <c r="C224" s="216"/>
      <c r="D224" s="219" t="s">
        <v>120</v>
      </c>
      <c r="E224" s="216"/>
      <c r="F224" s="227"/>
      <c r="G224" s="219" t="s">
        <v>545</v>
      </c>
      <c r="H224" s="227" t="s">
        <v>548</v>
      </c>
      <c r="I224" s="216"/>
      <c r="J224" s="216"/>
      <c r="K224" s="219"/>
      <c r="L224" s="225"/>
      <c r="M224" s="228">
        <v>2.8935185185185189E-4</v>
      </c>
      <c r="N224" s="228">
        <v>3.0787037037037037E-3</v>
      </c>
      <c r="O224" s="228">
        <v>2.7893518518518519E-3</v>
      </c>
      <c r="P224" s="243">
        <v>43007</v>
      </c>
      <c r="Q224" s="218" t="s">
        <v>2333</v>
      </c>
      <c r="R224" s="220" t="s">
        <v>94</v>
      </c>
      <c r="S224" s="220" t="s">
        <v>94</v>
      </c>
      <c r="T224" s="220" t="s">
        <v>94</v>
      </c>
      <c r="U224" s="230"/>
      <c r="V224" s="231"/>
      <c r="W224" s="242"/>
      <c r="X224" s="233"/>
      <c r="Y224" s="219"/>
      <c r="Z224" s="219"/>
    </row>
    <row r="225" spans="1:26" ht="15.75" thickBot="1">
      <c r="A225" s="225">
        <v>103.02</v>
      </c>
      <c r="B225" s="219" t="s">
        <v>97</v>
      </c>
      <c r="C225" s="216"/>
      <c r="D225" s="219" t="s">
        <v>120</v>
      </c>
      <c r="E225" s="216"/>
      <c r="F225" s="227"/>
      <c r="G225" s="219" t="s">
        <v>553</v>
      </c>
      <c r="H225" s="227" t="s">
        <v>1113</v>
      </c>
      <c r="I225" s="216"/>
      <c r="J225" s="216"/>
      <c r="K225" s="219"/>
      <c r="L225" s="225"/>
      <c r="M225" s="228">
        <v>1.554398148148148E-2</v>
      </c>
      <c r="N225" s="228">
        <v>2.2395833333333334E-2</v>
      </c>
      <c r="O225" s="228">
        <v>6.851851851851852E-3</v>
      </c>
      <c r="P225" s="243">
        <v>43007</v>
      </c>
      <c r="Q225" s="218" t="s">
        <v>2334</v>
      </c>
      <c r="R225" s="220" t="s">
        <v>94</v>
      </c>
      <c r="S225" s="220" t="s">
        <v>94</v>
      </c>
      <c r="T225" s="220" t="s">
        <v>94</v>
      </c>
      <c r="U225" s="230"/>
      <c r="V225" s="231"/>
      <c r="W225" s="242"/>
      <c r="X225" s="233"/>
      <c r="Y225" s="219"/>
      <c r="Z225" s="219"/>
    </row>
    <row r="226" spans="1:26" ht="15.75" thickBot="1">
      <c r="A226" s="225">
        <v>103.03</v>
      </c>
      <c r="B226" s="219" t="s">
        <v>97</v>
      </c>
      <c r="C226" s="216"/>
      <c r="D226" s="219" t="s">
        <v>120</v>
      </c>
      <c r="E226" s="216"/>
      <c r="F226" s="227"/>
      <c r="G226" s="219" t="s">
        <v>559</v>
      </c>
      <c r="H226" s="227" t="s">
        <v>1116</v>
      </c>
      <c r="I226" s="216"/>
      <c r="J226" s="216"/>
      <c r="K226" s="219"/>
      <c r="L226" s="225"/>
      <c r="M226" s="228">
        <v>2.2453703703703708E-2</v>
      </c>
      <c r="N226" s="228">
        <v>2.3206018518518515E-2</v>
      </c>
      <c r="O226" s="228">
        <v>7.5231481481481471E-4</v>
      </c>
      <c r="P226" s="243">
        <v>43007</v>
      </c>
      <c r="Q226" s="218" t="s">
        <v>2335</v>
      </c>
      <c r="R226" s="220" t="s">
        <v>94</v>
      </c>
      <c r="S226" s="220" t="s">
        <v>94</v>
      </c>
      <c r="T226" s="220" t="s">
        <v>94</v>
      </c>
      <c r="U226" s="230"/>
      <c r="V226" s="231"/>
      <c r="W226" s="242"/>
      <c r="X226" s="233"/>
      <c r="Y226" s="219"/>
      <c r="Z226" s="219"/>
    </row>
    <row r="227" spans="1:26" ht="15.75" thickBot="1">
      <c r="A227" s="225">
        <v>103.04</v>
      </c>
      <c r="B227" s="219" t="s">
        <v>97</v>
      </c>
      <c r="C227" s="216"/>
      <c r="D227" s="219" t="s">
        <v>120</v>
      </c>
      <c r="E227" s="216"/>
      <c r="F227" s="227"/>
      <c r="G227" s="219" t="s">
        <v>562</v>
      </c>
      <c r="H227" s="227" t="s">
        <v>1119</v>
      </c>
      <c r="I227" s="216"/>
      <c r="J227" s="216"/>
      <c r="K227" s="219"/>
      <c r="L227" s="225"/>
      <c r="M227" s="228">
        <v>2.326388888888889E-2</v>
      </c>
      <c r="N227" s="228">
        <v>2.3958333333333331E-2</v>
      </c>
      <c r="O227" s="228">
        <v>6.9444444444444447E-4</v>
      </c>
      <c r="P227" s="243">
        <v>43007</v>
      </c>
      <c r="Q227" s="218" t="s">
        <v>2336</v>
      </c>
      <c r="R227" s="220" t="s">
        <v>94</v>
      </c>
      <c r="S227" s="220" t="s">
        <v>94</v>
      </c>
      <c r="T227" s="220" t="s">
        <v>94</v>
      </c>
      <c r="U227" s="230"/>
      <c r="V227" s="231"/>
      <c r="W227" s="242"/>
      <c r="X227" s="233"/>
      <c r="Y227" s="219"/>
      <c r="Z227" s="219"/>
    </row>
    <row r="228" spans="1:26" ht="15.75" thickBot="1">
      <c r="A228" s="225">
        <v>103.05</v>
      </c>
      <c r="B228" s="219" t="s">
        <v>97</v>
      </c>
      <c r="C228" s="216"/>
      <c r="D228" s="219" t="s">
        <v>120</v>
      </c>
      <c r="E228" s="216"/>
      <c r="F228" s="227"/>
      <c r="G228" s="219" t="s">
        <v>567</v>
      </c>
      <c r="H228" s="227" t="s">
        <v>1122</v>
      </c>
      <c r="I228" s="216"/>
      <c r="J228" s="216"/>
      <c r="K228" s="219"/>
      <c r="L228" s="225"/>
      <c r="M228" s="228">
        <v>2.4004629629629629E-2</v>
      </c>
      <c r="N228" s="228">
        <v>2.5370370370370366E-2</v>
      </c>
      <c r="O228" s="228">
        <v>1.3657407407407409E-3</v>
      </c>
      <c r="P228" s="243">
        <v>43007</v>
      </c>
      <c r="Q228" s="218" t="s">
        <v>2337</v>
      </c>
      <c r="R228" s="220" t="s">
        <v>94</v>
      </c>
      <c r="S228" s="220" t="s">
        <v>94</v>
      </c>
      <c r="T228" s="220" t="s">
        <v>94</v>
      </c>
      <c r="U228" s="230"/>
      <c r="V228" s="231"/>
      <c r="W228" s="242"/>
      <c r="X228" s="233"/>
      <c r="Y228" s="219"/>
      <c r="Z228" s="219"/>
    </row>
    <row r="229" spans="1:26" ht="15.75" thickBot="1">
      <c r="A229" s="225">
        <v>103.06</v>
      </c>
      <c r="B229" s="219" t="s">
        <v>97</v>
      </c>
      <c r="C229" s="216"/>
      <c r="D229" s="219" t="s">
        <v>120</v>
      </c>
      <c r="E229" s="216"/>
      <c r="F229" s="227"/>
      <c r="G229" s="219" t="s">
        <v>572</v>
      </c>
      <c r="H229" s="227" t="s">
        <v>1125</v>
      </c>
      <c r="I229" s="216"/>
      <c r="J229" s="216"/>
      <c r="K229" s="219"/>
      <c r="L229" s="225"/>
      <c r="M229" s="228">
        <v>2.5509259259259259E-2</v>
      </c>
      <c r="N229" s="228">
        <v>2.6967592592592595E-2</v>
      </c>
      <c r="O229" s="228">
        <v>1.4583333333333334E-3</v>
      </c>
      <c r="P229" s="243">
        <v>43007</v>
      </c>
      <c r="Q229" s="218" t="s">
        <v>2338</v>
      </c>
      <c r="R229" s="220" t="s">
        <v>94</v>
      </c>
      <c r="S229" s="220" t="s">
        <v>94</v>
      </c>
      <c r="T229" s="220" t="s">
        <v>94</v>
      </c>
      <c r="U229" s="230"/>
      <c r="V229" s="231"/>
      <c r="W229" s="242"/>
      <c r="X229" s="233"/>
      <c r="Y229" s="219"/>
      <c r="Z229" s="219"/>
    </row>
    <row r="230" spans="1:26" ht="15.75" thickBot="1">
      <c r="A230" s="225">
        <v>103.07</v>
      </c>
      <c r="B230" s="219" t="s">
        <v>97</v>
      </c>
      <c r="C230" s="216"/>
      <c r="D230" s="219" t="s">
        <v>120</v>
      </c>
      <c r="E230" s="216"/>
      <c r="F230" s="227"/>
      <c r="G230" s="219" t="s">
        <v>576</v>
      </c>
      <c r="H230" s="227" t="s">
        <v>577</v>
      </c>
      <c r="I230" s="216"/>
      <c r="J230" s="216"/>
      <c r="K230" s="219"/>
      <c r="L230" s="225"/>
      <c r="M230" s="228">
        <v>2.7025462962962959E-2</v>
      </c>
      <c r="N230" s="228">
        <v>2.9224537037037038E-2</v>
      </c>
      <c r="O230" s="228">
        <v>2.1990740740740742E-3</v>
      </c>
      <c r="P230" s="243">
        <v>43007</v>
      </c>
      <c r="Q230" s="218" t="s">
        <v>2339</v>
      </c>
      <c r="R230" s="220" t="s">
        <v>94</v>
      </c>
      <c r="S230" s="220" t="s">
        <v>94</v>
      </c>
      <c r="T230" s="220" t="s">
        <v>94</v>
      </c>
      <c r="U230" s="230"/>
      <c r="V230" s="231"/>
      <c r="W230" s="242"/>
      <c r="X230" s="233"/>
      <c r="Y230" s="219"/>
      <c r="Z230" s="219"/>
    </row>
    <row r="231" spans="1:26" ht="15.75" thickBot="1">
      <c r="A231" s="225">
        <v>103.08</v>
      </c>
      <c r="B231" s="219" t="s">
        <v>97</v>
      </c>
      <c r="C231" s="216"/>
      <c r="D231" s="219" t="s">
        <v>120</v>
      </c>
      <c r="E231" s="216"/>
      <c r="F231" s="227"/>
      <c r="G231" s="219" t="s">
        <v>581</v>
      </c>
      <c r="H231" s="227" t="s">
        <v>582</v>
      </c>
      <c r="I231" s="216"/>
      <c r="J231" s="216"/>
      <c r="K231" s="219"/>
      <c r="L231" s="225"/>
      <c r="M231" s="228">
        <v>2.9259259259259259E-2</v>
      </c>
      <c r="N231" s="228">
        <v>2.9965277777777775E-2</v>
      </c>
      <c r="O231" s="228">
        <v>7.0601851851851847E-4</v>
      </c>
      <c r="P231" s="243">
        <v>43007</v>
      </c>
      <c r="Q231" s="218" t="s">
        <v>2340</v>
      </c>
      <c r="R231" s="220" t="s">
        <v>94</v>
      </c>
      <c r="S231" s="220" t="s">
        <v>94</v>
      </c>
      <c r="T231" s="220" t="s">
        <v>94</v>
      </c>
      <c r="U231" s="230"/>
      <c r="V231" s="231"/>
      <c r="W231" s="242"/>
      <c r="X231" s="233"/>
      <c r="Y231" s="219"/>
      <c r="Z231" s="219"/>
    </row>
    <row r="232" spans="1:26" ht="15.75" thickBot="1">
      <c r="A232" s="225">
        <v>103.09</v>
      </c>
      <c r="B232" s="219" t="s">
        <v>97</v>
      </c>
      <c r="C232" s="216"/>
      <c r="D232" s="219" t="s">
        <v>120</v>
      </c>
      <c r="E232" s="216"/>
      <c r="F232" s="227"/>
      <c r="G232" s="219" t="s">
        <v>2341</v>
      </c>
      <c r="H232" s="227" t="s">
        <v>1130</v>
      </c>
      <c r="I232" s="216"/>
      <c r="J232" s="216"/>
      <c r="K232" s="219"/>
      <c r="L232" s="225"/>
      <c r="M232" s="228">
        <v>3.0671296296296294E-2</v>
      </c>
      <c r="N232" s="228">
        <v>3.2060185185185185E-2</v>
      </c>
      <c r="O232" s="228">
        <v>1.3888888888888889E-3</v>
      </c>
      <c r="P232" s="243">
        <v>43007</v>
      </c>
      <c r="Q232" s="218" t="s">
        <v>2342</v>
      </c>
      <c r="R232" s="220" t="s">
        <v>94</v>
      </c>
      <c r="S232" s="220" t="s">
        <v>94</v>
      </c>
      <c r="T232" s="220" t="s">
        <v>94</v>
      </c>
      <c r="U232" s="230"/>
      <c r="V232" s="231"/>
      <c r="W232" s="242"/>
      <c r="X232" s="233"/>
      <c r="Y232" s="219"/>
      <c r="Z232" s="219"/>
    </row>
    <row r="233" spans="1:26" ht="15.75" thickBot="1">
      <c r="A233" s="225">
        <v>103.1</v>
      </c>
      <c r="B233" s="219" t="s">
        <v>97</v>
      </c>
      <c r="C233" s="216"/>
      <c r="D233" s="219" t="s">
        <v>120</v>
      </c>
      <c r="E233" s="216"/>
      <c r="F233" s="227"/>
      <c r="G233" s="219" t="s">
        <v>590</v>
      </c>
      <c r="H233" s="227" t="s">
        <v>1133</v>
      </c>
      <c r="I233" s="216"/>
      <c r="J233" s="216"/>
      <c r="K233" s="219"/>
      <c r="L233" s="225"/>
      <c r="M233" s="228">
        <v>3.2175925925925927E-2</v>
      </c>
      <c r="N233" s="228">
        <v>3.7268518518518513E-2</v>
      </c>
      <c r="O233" s="228">
        <v>5.0925925925925921E-3</v>
      </c>
      <c r="P233" s="243">
        <v>43007</v>
      </c>
      <c r="Q233" s="218" t="s">
        <v>2343</v>
      </c>
      <c r="R233" s="220" t="s">
        <v>94</v>
      </c>
      <c r="S233" s="220" t="s">
        <v>94</v>
      </c>
      <c r="T233" s="220" t="s">
        <v>94</v>
      </c>
      <c r="U233" s="230"/>
      <c r="V233" s="231"/>
      <c r="W233" s="242"/>
      <c r="X233" s="233"/>
      <c r="Y233" s="219"/>
      <c r="Z233" s="219"/>
    </row>
    <row r="234" spans="1:26" ht="15.75" thickBot="1">
      <c r="A234" s="225">
        <v>103.11</v>
      </c>
      <c r="B234" s="219" t="s">
        <v>97</v>
      </c>
      <c r="C234" s="216"/>
      <c r="D234" s="219" t="s">
        <v>120</v>
      </c>
      <c r="E234" s="216"/>
      <c r="F234" s="227"/>
      <c r="G234" s="238" t="s">
        <v>592</v>
      </c>
      <c r="H234" s="216"/>
      <c r="I234" s="216"/>
      <c r="J234" s="216"/>
      <c r="K234" s="219"/>
      <c r="L234" s="225"/>
      <c r="M234" s="228">
        <v>3.7731481481481484E-2</v>
      </c>
      <c r="N234" s="228">
        <v>3.923611111111111E-2</v>
      </c>
      <c r="O234" s="228">
        <v>1.5046296296296294E-3</v>
      </c>
      <c r="P234" s="243">
        <v>43007</v>
      </c>
      <c r="Q234" s="218" t="s">
        <v>2344</v>
      </c>
      <c r="R234" s="220" t="s">
        <v>94</v>
      </c>
      <c r="S234" s="220" t="s">
        <v>94</v>
      </c>
      <c r="T234" s="220" t="s">
        <v>94</v>
      </c>
      <c r="U234" s="230"/>
      <c r="V234" s="231"/>
      <c r="W234" s="242"/>
      <c r="X234" s="233"/>
      <c r="Y234" s="219"/>
      <c r="Z234" s="219"/>
    </row>
    <row r="235" spans="1:26" ht="15.75" thickBot="1">
      <c r="A235" s="225">
        <v>103.12</v>
      </c>
      <c r="B235" s="219" t="s">
        <v>97</v>
      </c>
      <c r="C235" s="216"/>
      <c r="D235" s="219" t="s">
        <v>120</v>
      </c>
      <c r="E235" s="216"/>
      <c r="F235" s="227"/>
      <c r="G235" s="238" t="s">
        <v>596</v>
      </c>
      <c r="H235" s="216"/>
      <c r="I235" s="216"/>
      <c r="J235" s="216"/>
      <c r="K235" s="219"/>
      <c r="L235" s="225"/>
      <c r="M235" s="228">
        <v>3.9317129629629625E-2</v>
      </c>
      <c r="N235" s="228">
        <v>4.1319444444444443E-2</v>
      </c>
      <c r="O235" s="228">
        <v>2.0023148148148148E-3</v>
      </c>
      <c r="P235" s="243">
        <v>43007</v>
      </c>
      <c r="Q235" s="218" t="s">
        <v>2345</v>
      </c>
      <c r="R235" s="220" t="s">
        <v>94</v>
      </c>
      <c r="S235" s="220" t="s">
        <v>94</v>
      </c>
      <c r="T235" s="220" t="s">
        <v>94</v>
      </c>
      <c r="U235" s="230"/>
      <c r="V235" s="231"/>
      <c r="W235" s="242"/>
      <c r="X235" s="233"/>
      <c r="Y235" s="219"/>
      <c r="Z235" s="219"/>
    </row>
    <row r="236" spans="1:26" ht="15.75" thickBot="1">
      <c r="A236" s="225">
        <v>103.13</v>
      </c>
      <c r="B236" s="219" t="s">
        <v>97</v>
      </c>
      <c r="C236" s="216"/>
      <c r="D236" s="219" t="s">
        <v>120</v>
      </c>
      <c r="E236" s="216"/>
      <c r="F236" s="227"/>
      <c r="G236" s="238" t="s">
        <v>598</v>
      </c>
      <c r="H236" s="216"/>
      <c r="I236" s="216"/>
      <c r="J236" s="216"/>
      <c r="K236" s="219"/>
      <c r="L236" s="225"/>
      <c r="M236" s="228">
        <v>4.1412037037037039E-2</v>
      </c>
      <c r="N236" s="228">
        <v>4.1666666666666664E-2</v>
      </c>
      <c r="O236" s="228">
        <v>2.5462962962962961E-4</v>
      </c>
      <c r="P236" s="243">
        <v>43007</v>
      </c>
      <c r="Q236" s="218" t="s">
        <v>2346</v>
      </c>
      <c r="R236" s="220" t="s">
        <v>94</v>
      </c>
      <c r="S236" s="220" t="s">
        <v>94</v>
      </c>
      <c r="T236" s="220" t="s">
        <v>94</v>
      </c>
      <c r="U236" s="230"/>
      <c r="V236" s="231"/>
      <c r="W236" s="242"/>
      <c r="X236" s="233"/>
      <c r="Y236" s="219"/>
      <c r="Z236" s="219"/>
    </row>
    <row r="237" spans="1:26" ht="15.75" thickBot="1">
      <c r="A237" s="225">
        <v>103.14</v>
      </c>
      <c r="B237" s="219" t="s">
        <v>97</v>
      </c>
      <c r="C237" s="216"/>
      <c r="D237" s="219" t="s">
        <v>120</v>
      </c>
      <c r="E237" s="216"/>
      <c r="F237" s="227"/>
      <c r="G237" s="219" t="s">
        <v>603</v>
      </c>
      <c r="H237" s="227" t="s">
        <v>604</v>
      </c>
      <c r="I237" s="216"/>
      <c r="J237" s="216"/>
      <c r="K237" s="219"/>
      <c r="L237" s="225"/>
      <c r="M237" s="228">
        <v>4.3402777777777783E-2</v>
      </c>
      <c r="N237" s="228">
        <v>5.0231481481481481E-2</v>
      </c>
      <c r="O237" s="228">
        <v>6.828703703703704E-3</v>
      </c>
      <c r="P237" s="243">
        <v>43007</v>
      </c>
      <c r="Q237" s="218" t="s">
        <v>2347</v>
      </c>
      <c r="R237" s="220" t="s">
        <v>94</v>
      </c>
      <c r="S237" s="220" t="s">
        <v>94</v>
      </c>
      <c r="T237" s="220" t="s">
        <v>94</v>
      </c>
      <c r="U237" s="230"/>
      <c r="V237" s="231"/>
      <c r="W237" s="242"/>
      <c r="X237" s="233"/>
      <c r="Y237" s="219"/>
      <c r="Z237" s="219"/>
    </row>
    <row r="238" spans="1:26" ht="15.75" thickBot="1">
      <c r="A238" s="225">
        <v>103.15</v>
      </c>
      <c r="B238" s="219" t="s">
        <v>97</v>
      </c>
      <c r="C238" s="216"/>
      <c r="D238" s="219" t="s">
        <v>120</v>
      </c>
      <c r="E238" s="216"/>
      <c r="F238" s="227"/>
      <c r="G238" s="219" t="s">
        <v>606</v>
      </c>
      <c r="H238" s="216"/>
      <c r="I238" s="216"/>
      <c r="J238" s="216"/>
      <c r="K238" s="219"/>
      <c r="L238" s="225"/>
      <c r="M238" s="228">
        <v>5.2986111111111116E-2</v>
      </c>
      <c r="N238" s="228">
        <v>5.4282407407407411E-2</v>
      </c>
      <c r="O238" s="228">
        <v>1.2962962962962963E-3</v>
      </c>
      <c r="P238" s="243">
        <v>43007</v>
      </c>
      <c r="Q238" s="218" t="s">
        <v>2348</v>
      </c>
      <c r="R238" s="220" t="s">
        <v>94</v>
      </c>
      <c r="S238" s="220" t="s">
        <v>94</v>
      </c>
      <c r="T238" s="220" t="s">
        <v>94</v>
      </c>
      <c r="U238" s="230"/>
      <c r="V238" s="231"/>
      <c r="W238" s="242"/>
      <c r="X238" s="233"/>
      <c r="Y238" s="219"/>
      <c r="Z238" s="219"/>
    </row>
    <row r="239" spans="1:26" ht="15.75" thickBot="1">
      <c r="A239" s="225">
        <v>103.16</v>
      </c>
      <c r="B239" s="219" t="s">
        <v>97</v>
      </c>
      <c r="C239" s="216"/>
      <c r="D239" s="219" t="s">
        <v>120</v>
      </c>
      <c r="E239" s="216"/>
      <c r="F239" s="216"/>
      <c r="G239" s="219" t="s">
        <v>609</v>
      </c>
      <c r="H239" s="227" t="s">
        <v>610</v>
      </c>
      <c r="I239" s="216"/>
      <c r="J239" s="216"/>
      <c r="K239" s="219"/>
      <c r="L239" s="225"/>
      <c r="M239" s="228">
        <v>5.4398148148148147E-2</v>
      </c>
      <c r="N239" s="228">
        <v>5.543981481481481E-2</v>
      </c>
      <c r="O239" s="228">
        <v>1.0416666666666667E-3</v>
      </c>
      <c r="P239" s="243">
        <v>43007</v>
      </c>
      <c r="Q239" s="218" t="s">
        <v>2349</v>
      </c>
      <c r="R239" s="220" t="s">
        <v>94</v>
      </c>
      <c r="S239" s="220" t="s">
        <v>94</v>
      </c>
      <c r="T239" s="220" t="s">
        <v>94</v>
      </c>
      <c r="U239" s="230"/>
      <c r="V239" s="231"/>
      <c r="W239" s="242"/>
      <c r="X239" s="233"/>
      <c r="Y239" s="219"/>
      <c r="Z239" s="219"/>
    </row>
    <row r="240" spans="1:26" ht="15.75" thickBot="1">
      <c r="A240" s="225">
        <v>103.17</v>
      </c>
      <c r="B240" s="219" t="s">
        <v>97</v>
      </c>
      <c r="C240" s="216"/>
      <c r="D240" s="219" t="s">
        <v>120</v>
      </c>
      <c r="E240" s="219"/>
      <c r="F240" s="219"/>
      <c r="G240" s="219" t="s">
        <v>612</v>
      </c>
      <c r="H240" s="219"/>
      <c r="I240" s="219"/>
      <c r="J240" s="219"/>
      <c r="K240" s="219"/>
      <c r="L240" s="219"/>
      <c r="M240" s="228">
        <v>5.9444444444444446E-2</v>
      </c>
      <c r="N240" s="228">
        <v>6.5277777777777782E-2</v>
      </c>
      <c r="O240" s="228">
        <v>5.8333333333333336E-3</v>
      </c>
      <c r="P240" s="243">
        <v>43007</v>
      </c>
      <c r="Q240" s="218" t="s">
        <v>2350</v>
      </c>
      <c r="R240" s="220" t="s">
        <v>94</v>
      </c>
      <c r="S240" s="220" t="s">
        <v>94</v>
      </c>
      <c r="T240" s="220" t="s">
        <v>94</v>
      </c>
      <c r="U240" s="230"/>
      <c r="V240" s="231"/>
      <c r="W240" s="242"/>
      <c r="X240" s="233"/>
      <c r="Y240" s="219"/>
      <c r="Z240" s="219"/>
    </row>
    <row r="241" spans="1:26" ht="15.75" thickBot="1">
      <c r="A241" s="225">
        <v>103.18</v>
      </c>
      <c r="B241" s="219" t="s">
        <v>97</v>
      </c>
      <c r="C241" s="216"/>
      <c r="D241" s="219" t="s">
        <v>120</v>
      </c>
      <c r="E241" s="219"/>
      <c r="F241" s="219"/>
      <c r="G241" s="238" t="s">
        <v>614</v>
      </c>
      <c r="H241" s="219"/>
      <c r="I241" s="219"/>
      <c r="J241" s="219"/>
      <c r="K241" s="219"/>
      <c r="L241" s="219"/>
      <c r="M241" s="228">
        <v>7.0601851851851846E-2</v>
      </c>
      <c r="N241" s="228">
        <v>7.1574074074074082E-2</v>
      </c>
      <c r="O241" s="228">
        <v>9.7222222222222209E-4</v>
      </c>
      <c r="P241" s="243">
        <v>43007</v>
      </c>
      <c r="Q241" s="218" t="s">
        <v>2351</v>
      </c>
      <c r="R241" s="220" t="s">
        <v>94</v>
      </c>
      <c r="S241" s="220" t="s">
        <v>94</v>
      </c>
      <c r="T241" s="220" t="s">
        <v>94</v>
      </c>
      <c r="U241" s="230"/>
      <c r="V241" s="231"/>
      <c r="W241" s="242"/>
      <c r="X241" s="233"/>
      <c r="Y241" s="219"/>
      <c r="Z241" s="219"/>
    </row>
    <row r="242" spans="1:26" ht="15.75" thickBot="1">
      <c r="A242" s="225">
        <v>103.19</v>
      </c>
      <c r="B242" s="219" t="s">
        <v>97</v>
      </c>
      <c r="C242" s="216"/>
      <c r="D242" s="219" t="s">
        <v>120</v>
      </c>
      <c r="E242" s="219"/>
      <c r="F242" s="219"/>
      <c r="G242" s="238" t="s">
        <v>615</v>
      </c>
      <c r="H242" s="219"/>
      <c r="I242" s="219"/>
      <c r="J242" s="219"/>
      <c r="K242" s="219"/>
      <c r="L242" s="219"/>
      <c r="M242" s="228">
        <v>8.2233796296296291E-2</v>
      </c>
      <c r="N242" s="228">
        <v>8.6851851851851847E-2</v>
      </c>
      <c r="O242" s="228">
        <v>4.6180555555555558E-3</v>
      </c>
      <c r="P242" s="243">
        <v>43008</v>
      </c>
      <c r="Q242" s="218" t="s">
        <v>2352</v>
      </c>
      <c r="R242" s="220" t="s">
        <v>94</v>
      </c>
      <c r="S242" s="220" t="s">
        <v>94</v>
      </c>
      <c r="T242" s="220" t="s">
        <v>94</v>
      </c>
      <c r="U242" s="230"/>
      <c r="V242" s="231"/>
      <c r="W242" s="242"/>
      <c r="X242" s="233"/>
      <c r="Y242" s="219"/>
      <c r="Z242" s="219"/>
    </row>
    <row r="243" spans="1:26" ht="15.75" thickBot="1">
      <c r="A243" s="225">
        <v>104</v>
      </c>
      <c r="B243" s="216"/>
      <c r="C243" s="216"/>
      <c r="D243" s="216"/>
      <c r="E243" s="216" t="s">
        <v>675</v>
      </c>
      <c r="F243" s="226" t="s">
        <v>676</v>
      </c>
      <c r="G243" s="227"/>
      <c r="H243" s="227"/>
      <c r="I243" s="216"/>
      <c r="J243" s="225">
        <v>4000</v>
      </c>
      <c r="K243" s="228">
        <v>2.3530092592592592E-2</v>
      </c>
      <c r="L243" s="225" t="s">
        <v>459</v>
      </c>
      <c r="M243" s="219"/>
      <c r="N243" s="219"/>
      <c r="O243" s="216"/>
      <c r="P243" s="216"/>
      <c r="Q243" s="216"/>
      <c r="R243" s="220"/>
      <c r="S243" s="220"/>
      <c r="T243" s="220"/>
      <c r="U243" s="230"/>
      <c r="V243" s="231"/>
      <c r="W243" s="232"/>
      <c r="X243" s="233"/>
      <c r="Y243" s="219"/>
      <c r="Z243" s="219"/>
    </row>
    <row r="244" spans="1:26" ht="15.75" thickBot="1">
      <c r="A244" s="225">
        <v>105</v>
      </c>
      <c r="B244" s="216"/>
      <c r="C244" s="216"/>
      <c r="D244" s="216"/>
      <c r="E244" s="216" t="s">
        <v>678</v>
      </c>
      <c r="F244" s="226" t="s">
        <v>679</v>
      </c>
      <c r="G244" s="227"/>
      <c r="H244" s="227"/>
      <c r="I244" s="216"/>
      <c r="J244" s="225">
        <v>3600</v>
      </c>
      <c r="K244" s="228">
        <v>8.9583333333333334E-2</v>
      </c>
      <c r="L244" s="225" t="s">
        <v>459</v>
      </c>
      <c r="M244" s="219"/>
      <c r="N244" s="219"/>
      <c r="O244" s="216"/>
      <c r="P244" s="216"/>
      <c r="Q244" s="216"/>
      <c r="R244" s="220"/>
      <c r="S244" s="220"/>
      <c r="T244" s="220"/>
      <c r="U244" s="230"/>
      <c r="V244" s="231"/>
      <c r="W244" s="232"/>
      <c r="X244" s="233"/>
      <c r="Y244" s="219"/>
      <c r="Z244" s="219"/>
    </row>
    <row r="245" spans="1:26" ht="15.75" thickBot="1">
      <c r="A245" s="225">
        <v>106</v>
      </c>
      <c r="B245" s="216"/>
      <c r="C245" s="216"/>
      <c r="D245" s="216"/>
      <c r="E245" s="216" t="s">
        <v>681</v>
      </c>
      <c r="F245" s="226" t="s">
        <v>682</v>
      </c>
      <c r="G245" s="227"/>
      <c r="H245" s="227"/>
      <c r="I245" s="216"/>
      <c r="J245" s="225">
        <v>11000</v>
      </c>
      <c r="K245" s="228">
        <v>5.4884259259259265E-2</v>
      </c>
      <c r="L245" s="225" t="s">
        <v>459</v>
      </c>
      <c r="M245" s="219"/>
      <c r="N245" s="219"/>
      <c r="O245" s="216"/>
      <c r="P245" s="216"/>
      <c r="Q245" s="216"/>
      <c r="R245" s="220"/>
      <c r="S245" s="220"/>
      <c r="T245" s="220"/>
      <c r="U245" s="230"/>
      <c r="V245" s="231"/>
      <c r="W245" s="232"/>
      <c r="X245" s="233"/>
      <c r="Y245" s="219"/>
      <c r="Z245" s="219"/>
    </row>
    <row r="246" spans="1:26" ht="15.75" thickBot="1">
      <c r="A246" s="225">
        <v>107</v>
      </c>
      <c r="B246" s="219" t="s">
        <v>97</v>
      </c>
      <c r="C246" s="216"/>
      <c r="D246" s="219" t="s">
        <v>120</v>
      </c>
      <c r="E246" s="216" t="s">
        <v>618</v>
      </c>
      <c r="F246" s="226" t="s">
        <v>619</v>
      </c>
      <c r="G246" s="227"/>
      <c r="H246" s="227"/>
      <c r="I246" s="216"/>
      <c r="J246" s="225">
        <v>11000</v>
      </c>
      <c r="K246" s="228">
        <v>8.446759259259258E-2</v>
      </c>
      <c r="L246" s="225" t="s">
        <v>459</v>
      </c>
      <c r="M246" s="219"/>
      <c r="N246" s="219"/>
      <c r="O246" s="216"/>
      <c r="P246" s="243">
        <v>43008</v>
      </c>
      <c r="Q246" s="216"/>
      <c r="R246" s="220"/>
      <c r="S246" s="220"/>
      <c r="T246" s="220"/>
      <c r="U246" s="230"/>
      <c r="V246" s="231"/>
      <c r="W246" s="232"/>
      <c r="X246" s="233"/>
      <c r="Y246" s="219"/>
      <c r="Z246" s="219"/>
    </row>
    <row r="247" spans="1:26" ht="15.75" thickBot="1">
      <c r="A247" s="244">
        <v>107.01</v>
      </c>
      <c r="B247" s="219" t="s">
        <v>97</v>
      </c>
      <c r="C247" s="216"/>
      <c r="D247" s="219" t="s">
        <v>120</v>
      </c>
      <c r="E247" s="219"/>
      <c r="F247" s="219"/>
      <c r="G247" s="219" t="s">
        <v>620</v>
      </c>
      <c r="H247" s="219"/>
      <c r="I247" s="219"/>
      <c r="J247" s="219"/>
      <c r="K247" s="219"/>
      <c r="L247" s="219"/>
      <c r="M247" s="228">
        <v>2.013888888888889E-2</v>
      </c>
      <c r="N247" s="228">
        <v>2.314814814814815E-2</v>
      </c>
      <c r="O247" s="228">
        <v>3.0092592592592588E-3</v>
      </c>
      <c r="P247" s="243">
        <v>43008</v>
      </c>
      <c r="Q247" s="226" t="s">
        <v>2353</v>
      </c>
      <c r="R247" s="240"/>
      <c r="S247" s="240"/>
      <c r="T247" s="240"/>
      <c r="U247" s="230"/>
      <c r="V247" s="231"/>
      <c r="W247" s="242"/>
      <c r="X247" s="233"/>
      <c r="Y247" s="219"/>
      <c r="Z247" s="219"/>
    </row>
    <row r="248" spans="1:26" ht="15.75" thickBot="1">
      <c r="A248" s="244">
        <v>107.02</v>
      </c>
      <c r="B248" s="219" t="s">
        <v>97</v>
      </c>
      <c r="C248" s="216"/>
      <c r="D248" s="219" t="s">
        <v>120</v>
      </c>
      <c r="E248" s="219"/>
      <c r="F248" s="219"/>
      <c r="G248" s="238" t="s">
        <v>623</v>
      </c>
      <c r="H248" s="219"/>
      <c r="I248" s="219"/>
      <c r="J248" s="219"/>
      <c r="K248" s="219"/>
      <c r="L248" s="219"/>
      <c r="M248" s="228">
        <v>2.0833333333333332E-2</v>
      </c>
      <c r="N248" s="228">
        <v>2.2280092592592591E-2</v>
      </c>
      <c r="O248" s="228">
        <v>1.4467592592592594E-3</v>
      </c>
      <c r="P248" s="243">
        <v>43008</v>
      </c>
      <c r="Q248" s="226" t="s">
        <v>2354</v>
      </c>
      <c r="R248" s="240"/>
      <c r="S248" s="240"/>
      <c r="T248" s="240"/>
      <c r="U248" s="230"/>
      <c r="V248" s="231"/>
      <c r="W248" s="242"/>
      <c r="X248" s="233"/>
      <c r="Y248" s="219"/>
      <c r="Z248" s="219"/>
    </row>
    <row r="249" spans="1:26" ht="15.75" thickBot="1">
      <c r="A249" s="244">
        <v>107.03</v>
      </c>
      <c r="B249" s="219" t="s">
        <v>97</v>
      </c>
      <c r="C249" s="216"/>
      <c r="D249" s="219" t="s">
        <v>120</v>
      </c>
      <c r="E249" s="219"/>
      <c r="F249" s="219"/>
      <c r="G249" s="238" t="s">
        <v>1163</v>
      </c>
      <c r="H249" s="219"/>
      <c r="I249" s="219"/>
      <c r="J249" s="219"/>
      <c r="K249" s="219"/>
      <c r="L249" s="219"/>
      <c r="M249" s="228">
        <v>2.146990740740741E-2</v>
      </c>
      <c r="N249" s="228">
        <v>2.2280092592592591E-2</v>
      </c>
      <c r="O249" s="228">
        <v>8.1018518518518516E-4</v>
      </c>
      <c r="P249" s="243">
        <v>43008</v>
      </c>
      <c r="Q249" s="226" t="s">
        <v>2355</v>
      </c>
      <c r="R249" s="240"/>
      <c r="S249" s="240"/>
      <c r="T249" s="240"/>
      <c r="U249" s="230"/>
      <c r="V249" s="231"/>
      <c r="W249" s="242"/>
      <c r="X249" s="233"/>
      <c r="Y249" s="219"/>
      <c r="Z249" s="219"/>
    </row>
    <row r="250" spans="1:26" ht="15.75" thickBot="1">
      <c r="A250" s="244">
        <v>107.04</v>
      </c>
      <c r="B250" s="219" t="s">
        <v>97</v>
      </c>
      <c r="C250" s="216"/>
      <c r="D250" s="219" t="s">
        <v>120</v>
      </c>
      <c r="E250" s="219"/>
      <c r="F250" s="219"/>
      <c r="G250" s="219" t="s">
        <v>627</v>
      </c>
      <c r="H250" s="219"/>
      <c r="I250" s="219"/>
      <c r="J250" s="219"/>
      <c r="K250" s="219"/>
      <c r="L250" s="219"/>
      <c r="M250" s="228">
        <v>2.0949074074074075E-2</v>
      </c>
      <c r="N250" s="228">
        <v>2.8125000000000001E-2</v>
      </c>
      <c r="O250" s="228">
        <v>7.1759259259259259E-3</v>
      </c>
      <c r="P250" s="243">
        <v>43008</v>
      </c>
      <c r="Q250" s="226" t="s">
        <v>2356</v>
      </c>
      <c r="R250" s="240"/>
      <c r="S250" s="240"/>
      <c r="T250" s="240"/>
      <c r="U250" s="230"/>
      <c r="V250" s="231"/>
      <c r="W250" s="242"/>
      <c r="X250" s="233"/>
      <c r="Y250" s="219"/>
      <c r="Z250" s="219"/>
    </row>
    <row r="251" spans="1:26" ht="15.75" thickBot="1">
      <c r="A251" s="244">
        <v>107.05</v>
      </c>
      <c r="B251" s="219" t="s">
        <v>97</v>
      </c>
      <c r="C251" s="216"/>
      <c r="D251" s="219" t="s">
        <v>120</v>
      </c>
      <c r="E251" s="219"/>
      <c r="F251" s="219"/>
      <c r="G251" s="219" t="s">
        <v>1168</v>
      </c>
      <c r="H251" s="219"/>
      <c r="I251" s="219"/>
      <c r="J251" s="219"/>
      <c r="K251" s="219"/>
      <c r="L251" s="219"/>
      <c r="M251" s="228">
        <v>2.8182870370370372E-2</v>
      </c>
      <c r="N251" s="228">
        <v>2.9224537037037038E-2</v>
      </c>
      <c r="O251" s="228">
        <v>1.0416666666666667E-3</v>
      </c>
      <c r="P251" s="243">
        <v>43008</v>
      </c>
      <c r="Q251" s="226" t="s">
        <v>2357</v>
      </c>
      <c r="R251" s="240"/>
      <c r="S251" s="240"/>
      <c r="T251" s="240"/>
      <c r="U251" s="230"/>
      <c r="V251" s="231"/>
      <c r="W251" s="242"/>
      <c r="X251" s="233"/>
      <c r="Y251" s="219"/>
      <c r="Z251" s="219"/>
    </row>
    <row r="252" spans="1:26" ht="15.75" thickBot="1">
      <c r="A252" s="244">
        <v>107.06</v>
      </c>
      <c r="B252" s="219" t="s">
        <v>97</v>
      </c>
      <c r="C252" s="216"/>
      <c r="D252" s="219" t="s">
        <v>120</v>
      </c>
      <c r="E252" s="219"/>
      <c r="F252" s="219"/>
      <c r="G252" s="238" t="s">
        <v>633</v>
      </c>
      <c r="H252" s="219"/>
      <c r="I252" s="219"/>
      <c r="J252" s="219"/>
      <c r="K252" s="219"/>
      <c r="L252" s="219"/>
      <c r="M252" s="228">
        <v>2.9282407407407406E-2</v>
      </c>
      <c r="N252" s="228">
        <v>3.0902777777777779E-2</v>
      </c>
      <c r="O252" s="228">
        <v>1.6203703703703703E-3</v>
      </c>
      <c r="P252" s="243">
        <v>43008</v>
      </c>
      <c r="Q252" s="226" t="s">
        <v>2358</v>
      </c>
      <c r="R252" s="240"/>
      <c r="S252" s="240"/>
      <c r="T252" s="240"/>
      <c r="U252" s="230"/>
      <c r="V252" s="231"/>
      <c r="W252" s="242"/>
      <c r="X252" s="233"/>
      <c r="Y252" s="219"/>
      <c r="Z252" s="219"/>
    </row>
    <row r="253" spans="1:26" ht="15.75" thickBot="1">
      <c r="A253" s="244">
        <v>107.07</v>
      </c>
      <c r="B253" s="219" t="s">
        <v>97</v>
      </c>
      <c r="C253" s="216"/>
      <c r="D253" s="219" t="s">
        <v>120</v>
      </c>
      <c r="E253" s="219"/>
      <c r="F253" s="219"/>
      <c r="G253" s="238" t="s">
        <v>636</v>
      </c>
      <c r="H253" s="219"/>
      <c r="I253" s="219"/>
      <c r="J253" s="219"/>
      <c r="K253" s="219"/>
      <c r="L253" s="219"/>
      <c r="M253" s="228">
        <v>3.096064814814815E-2</v>
      </c>
      <c r="N253" s="228">
        <v>3.3217592592592597E-2</v>
      </c>
      <c r="O253" s="228">
        <v>2.2569444444444447E-3</v>
      </c>
      <c r="P253" s="243">
        <v>43008</v>
      </c>
      <c r="Q253" s="226" t="s">
        <v>2359</v>
      </c>
      <c r="R253" s="240"/>
      <c r="S253" s="240"/>
      <c r="T253" s="240"/>
      <c r="U253" s="230"/>
      <c r="V253" s="231"/>
      <c r="W253" s="242"/>
      <c r="X253" s="233"/>
      <c r="Y253" s="219"/>
      <c r="Z253" s="219"/>
    </row>
    <row r="254" spans="1:26" ht="15.75" thickBot="1">
      <c r="A254" s="244">
        <v>107.08</v>
      </c>
      <c r="B254" s="219" t="s">
        <v>97</v>
      </c>
      <c r="C254" s="216"/>
      <c r="D254" s="219" t="s">
        <v>120</v>
      </c>
      <c r="E254" s="219"/>
      <c r="F254" s="219"/>
      <c r="G254" s="238" t="s">
        <v>637</v>
      </c>
      <c r="H254" s="219"/>
      <c r="I254" s="219"/>
      <c r="J254" s="219"/>
      <c r="K254" s="219"/>
      <c r="L254" s="219"/>
      <c r="M254" s="228">
        <v>3.7152777777777778E-2</v>
      </c>
      <c r="N254" s="228">
        <v>3.9930555555555559E-2</v>
      </c>
      <c r="O254" s="228">
        <v>2.7777777777777779E-3</v>
      </c>
      <c r="P254" s="243">
        <v>43008</v>
      </c>
      <c r="Q254" s="226" t="s">
        <v>2360</v>
      </c>
      <c r="R254" s="240"/>
      <c r="S254" s="240"/>
      <c r="T254" s="240"/>
      <c r="U254" s="230"/>
      <c r="V254" s="231"/>
      <c r="W254" s="242"/>
      <c r="X254" s="233"/>
      <c r="Y254" s="219"/>
      <c r="Z254" s="219"/>
    </row>
    <row r="255" spans="1:26" ht="15.75" thickBot="1">
      <c r="A255" s="244">
        <v>107.09</v>
      </c>
      <c r="B255" s="219" t="s">
        <v>97</v>
      </c>
      <c r="C255" s="216"/>
      <c r="D255" s="219" t="s">
        <v>120</v>
      </c>
      <c r="E255" s="219"/>
      <c r="F255" s="219"/>
      <c r="G255" s="238" t="s">
        <v>641</v>
      </c>
      <c r="H255" s="219"/>
      <c r="I255" s="219"/>
      <c r="J255" s="219"/>
      <c r="K255" s="219"/>
      <c r="L255" s="219"/>
      <c r="M255" s="228">
        <v>4.1666666666666664E-2</v>
      </c>
      <c r="N255" s="228">
        <v>4.4097222222222225E-2</v>
      </c>
      <c r="O255" s="228">
        <v>2.4305555555555556E-3</v>
      </c>
      <c r="P255" s="243">
        <v>43008</v>
      </c>
      <c r="Q255" s="226" t="s">
        <v>2361</v>
      </c>
      <c r="R255" s="240"/>
      <c r="S255" s="240"/>
      <c r="T255" s="240"/>
      <c r="U255" s="230"/>
      <c r="V255" s="231"/>
      <c r="W255" s="242"/>
      <c r="X255" s="233"/>
      <c r="Y255" s="219"/>
      <c r="Z255" s="219"/>
    </row>
    <row r="256" spans="1:26" ht="15.75" thickBot="1">
      <c r="A256" s="244">
        <v>107.1</v>
      </c>
      <c r="B256" s="219" t="s">
        <v>97</v>
      </c>
      <c r="C256" s="216"/>
      <c r="D256" s="219" t="s">
        <v>120</v>
      </c>
      <c r="E256" s="219"/>
      <c r="F256" s="219"/>
      <c r="G256" s="238" t="s">
        <v>642</v>
      </c>
      <c r="H256" s="219"/>
      <c r="I256" s="219"/>
      <c r="J256" s="219"/>
      <c r="K256" s="219"/>
      <c r="L256" s="219"/>
      <c r="M256" s="228">
        <v>4.5497685185185183E-2</v>
      </c>
      <c r="N256" s="228">
        <v>4.7569444444444442E-2</v>
      </c>
      <c r="O256" s="228">
        <v>2.0717592592592593E-3</v>
      </c>
      <c r="P256" s="243">
        <v>43008</v>
      </c>
      <c r="Q256" s="226" t="s">
        <v>2362</v>
      </c>
      <c r="R256" s="240"/>
      <c r="S256" s="240"/>
      <c r="T256" s="240"/>
      <c r="U256" s="230"/>
      <c r="V256" s="231"/>
      <c r="W256" s="242"/>
      <c r="X256" s="233"/>
      <c r="Y256" s="219"/>
      <c r="Z256" s="219"/>
    </row>
    <row r="257" spans="1:26" ht="15.75" thickBot="1">
      <c r="A257" s="244">
        <v>107.11</v>
      </c>
      <c r="B257" s="219" t="s">
        <v>97</v>
      </c>
      <c r="C257" s="216"/>
      <c r="D257" s="219" t="s">
        <v>120</v>
      </c>
      <c r="E257" s="219"/>
      <c r="F257" s="219"/>
      <c r="G257" s="219" t="s">
        <v>647</v>
      </c>
      <c r="H257" s="238" t="s">
        <v>648</v>
      </c>
      <c r="I257" s="219"/>
      <c r="J257" s="219"/>
      <c r="K257" s="219"/>
      <c r="L257" s="219"/>
      <c r="M257" s="228">
        <v>5.424768518518519E-2</v>
      </c>
      <c r="N257" s="228">
        <v>5.5150462962962964E-2</v>
      </c>
      <c r="O257" s="228">
        <v>9.0277777777777784E-4</v>
      </c>
      <c r="P257" s="243">
        <v>43009</v>
      </c>
      <c r="Q257" s="226" t="s">
        <v>2363</v>
      </c>
      <c r="R257" s="240"/>
      <c r="S257" s="240"/>
      <c r="T257" s="240"/>
      <c r="U257" s="230"/>
      <c r="V257" s="231"/>
      <c r="W257" s="242"/>
      <c r="X257" s="233"/>
      <c r="Y257" s="219"/>
      <c r="Z257" s="219"/>
    </row>
    <row r="258" spans="1:26" ht="15.75" thickBot="1">
      <c r="A258" s="244">
        <v>107.12</v>
      </c>
      <c r="B258" s="219" t="s">
        <v>97</v>
      </c>
      <c r="C258" s="216"/>
      <c r="D258" s="219" t="s">
        <v>120</v>
      </c>
      <c r="E258" s="219"/>
      <c r="F258" s="219"/>
      <c r="G258" s="238" t="s">
        <v>649</v>
      </c>
      <c r="H258" s="219"/>
      <c r="I258" s="219"/>
      <c r="J258" s="219"/>
      <c r="K258" s="219"/>
      <c r="L258" s="219"/>
      <c r="M258" s="228">
        <v>6.0381944444444446E-2</v>
      </c>
      <c r="N258" s="228">
        <v>6.1863425925925926E-2</v>
      </c>
      <c r="O258" s="228">
        <v>1.4814814814814814E-3</v>
      </c>
      <c r="P258" s="243">
        <v>43009</v>
      </c>
      <c r="Q258" s="226" t="s">
        <v>2364</v>
      </c>
      <c r="R258" s="240"/>
      <c r="S258" s="240"/>
      <c r="T258" s="240"/>
      <c r="U258" s="230"/>
      <c r="V258" s="231"/>
      <c r="W258" s="242"/>
      <c r="X258" s="233"/>
      <c r="Y258" s="219"/>
      <c r="Z258" s="219"/>
    </row>
    <row r="259" spans="1:26" ht="15.75" thickBot="1">
      <c r="A259" s="244">
        <v>107.13</v>
      </c>
      <c r="B259" s="219" t="s">
        <v>97</v>
      </c>
      <c r="C259" s="216"/>
      <c r="D259" s="219" t="s">
        <v>120</v>
      </c>
      <c r="E259" s="219"/>
      <c r="F259" s="219"/>
      <c r="G259" s="238" t="s">
        <v>652</v>
      </c>
      <c r="H259" s="219"/>
      <c r="I259" s="219"/>
      <c r="J259" s="219"/>
      <c r="K259" s="219"/>
      <c r="L259" s="219"/>
      <c r="M259" s="228">
        <v>6.2708333333333324E-2</v>
      </c>
      <c r="N259" s="228">
        <v>6.4814814814814811E-2</v>
      </c>
      <c r="O259" s="228">
        <v>2.1064814814814813E-3</v>
      </c>
      <c r="P259" s="243">
        <v>43009</v>
      </c>
      <c r="Q259" s="226" t="s">
        <v>2365</v>
      </c>
      <c r="R259" s="240"/>
      <c r="S259" s="240"/>
      <c r="T259" s="240"/>
      <c r="U259" s="230"/>
      <c r="V259" s="231"/>
      <c r="W259" s="242"/>
      <c r="X259" s="233"/>
      <c r="Y259" s="219"/>
      <c r="Z259" s="219"/>
    </row>
    <row r="260" spans="1:26" ht="15.75" thickBot="1">
      <c r="A260" s="244">
        <v>107.14</v>
      </c>
      <c r="B260" s="219" t="s">
        <v>97</v>
      </c>
      <c r="C260" s="216"/>
      <c r="D260" s="219" t="s">
        <v>120</v>
      </c>
      <c r="E260" s="219"/>
      <c r="F260" s="219"/>
      <c r="G260" s="219" t="s">
        <v>1177</v>
      </c>
      <c r="H260" s="219"/>
      <c r="I260" s="219"/>
      <c r="J260" s="219"/>
      <c r="K260" s="219"/>
      <c r="L260" s="219"/>
      <c r="M260" s="228">
        <v>7.2337962962962965E-2</v>
      </c>
      <c r="N260" s="228">
        <v>7.3854166666666665E-2</v>
      </c>
      <c r="O260" s="228">
        <v>1.5162037037037036E-3</v>
      </c>
      <c r="P260" s="243">
        <v>43009</v>
      </c>
      <c r="Q260" s="226" t="s">
        <v>2366</v>
      </c>
      <c r="R260" s="240"/>
      <c r="S260" s="240"/>
      <c r="T260" s="240"/>
      <c r="U260" s="230"/>
      <c r="V260" s="231"/>
      <c r="W260" s="242"/>
      <c r="X260" s="233"/>
      <c r="Y260" s="219"/>
      <c r="Z260" s="219"/>
    </row>
    <row r="261" spans="1:26" ht="15.75" thickBot="1">
      <c r="A261" s="225">
        <v>108</v>
      </c>
      <c r="B261" s="216"/>
      <c r="C261" s="216"/>
      <c r="D261" s="216"/>
      <c r="E261" s="216" t="s">
        <v>689</v>
      </c>
      <c r="F261" s="226" t="s">
        <v>690</v>
      </c>
      <c r="G261" s="227"/>
      <c r="H261" s="227"/>
      <c r="I261" s="216"/>
      <c r="J261" s="225">
        <v>2600</v>
      </c>
      <c r="K261" s="228">
        <v>5.2893518518518513E-2</v>
      </c>
      <c r="L261" s="225" t="s">
        <v>459</v>
      </c>
      <c r="M261" s="219"/>
      <c r="N261" s="219"/>
      <c r="O261" s="216"/>
      <c r="P261" s="216"/>
      <c r="Q261" s="216"/>
      <c r="R261" s="220"/>
      <c r="S261" s="220"/>
      <c r="T261" s="220"/>
      <c r="U261" s="230"/>
      <c r="V261" s="231"/>
      <c r="W261" s="232"/>
      <c r="X261" s="233"/>
      <c r="Y261" s="219"/>
      <c r="Z261" s="219"/>
    </row>
    <row r="262" spans="1:26" ht="15.75" thickBot="1">
      <c r="A262" s="225">
        <v>109</v>
      </c>
      <c r="B262" s="216"/>
      <c r="C262" s="216"/>
      <c r="D262" s="216"/>
      <c r="E262" s="216" t="s">
        <v>696</v>
      </c>
      <c r="F262" s="226" t="s">
        <v>697</v>
      </c>
      <c r="G262" s="227"/>
      <c r="H262" s="227"/>
      <c r="I262" s="216"/>
      <c r="J262" s="225">
        <v>1400</v>
      </c>
      <c r="K262" s="228">
        <v>3.1817129629629633E-2</v>
      </c>
      <c r="L262" s="225" t="s">
        <v>459</v>
      </c>
      <c r="M262" s="219"/>
      <c r="N262" s="219"/>
      <c r="O262" s="216"/>
      <c r="P262" s="216"/>
      <c r="Q262" s="216"/>
      <c r="R262" s="220"/>
      <c r="S262" s="220"/>
      <c r="T262" s="220"/>
      <c r="U262" s="230"/>
      <c r="V262" s="231"/>
      <c r="W262" s="232"/>
      <c r="X262" s="233"/>
      <c r="Y262" s="219"/>
      <c r="Z262" s="219"/>
    </row>
    <row r="263" spans="1:26" ht="15.75" thickBot="1">
      <c r="A263" s="225">
        <v>110</v>
      </c>
      <c r="B263" s="216"/>
      <c r="C263" s="216"/>
      <c r="D263" s="216"/>
      <c r="E263" s="216" t="s">
        <v>701</v>
      </c>
      <c r="F263" s="226" t="s">
        <v>702</v>
      </c>
      <c r="G263" s="227"/>
      <c r="H263" s="227"/>
      <c r="I263" s="216"/>
      <c r="J263" s="225">
        <v>15000</v>
      </c>
      <c r="K263" s="228">
        <v>0.10678240740740741</v>
      </c>
      <c r="L263" s="225" t="s">
        <v>459</v>
      </c>
      <c r="M263" s="219"/>
      <c r="N263" s="219"/>
      <c r="O263" s="216"/>
      <c r="P263" s="216"/>
      <c r="Q263" s="216"/>
      <c r="R263" s="220"/>
      <c r="S263" s="220"/>
      <c r="T263" s="220"/>
      <c r="U263" s="230"/>
      <c r="V263" s="231"/>
      <c r="W263" s="232"/>
      <c r="X263" s="233"/>
      <c r="Y263" s="219"/>
      <c r="Z263" s="219"/>
    </row>
    <row r="264" spans="1:26" ht="15.75" thickBot="1">
      <c r="A264" s="225">
        <v>111</v>
      </c>
      <c r="B264" s="216"/>
      <c r="C264" s="216"/>
      <c r="D264" s="216"/>
      <c r="E264" s="216" t="s">
        <v>708</v>
      </c>
      <c r="F264" s="226" t="s">
        <v>709</v>
      </c>
      <c r="G264" s="227"/>
      <c r="H264" s="227"/>
      <c r="I264" s="216"/>
      <c r="J264" s="225">
        <v>888</v>
      </c>
      <c r="K264" s="228">
        <v>4.3055555555555555E-3</v>
      </c>
      <c r="L264" s="225" t="s">
        <v>459</v>
      </c>
      <c r="M264" s="219"/>
      <c r="N264" s="219"/>
      <c r="O264" s="216"/>
      <c r="P264" s="216"/>
      <c r="Q264" s="216"/>
      <c r="R264" s="220"/>
      <c r="S264" s="220"/>
      <c r="T264" s="220"/>
      <c r="U264" s="230"/>
      <c r="V264" s="231"/>
      <c r="W264" s="232"/>
      <c r="X264" s="233"/>
      <c r="Y264" s="219"/>
      <c r="Z264" s="219"/>
    </row>
    <row r="265" spans="1:26" ht="15.75" thickBot="1">
      <c r="A265" s="225">
        <v>112</v>
      </c>
      <c r="B265" s="216"/>
      <c r="C265" s="216"/>
      <c r="D265" s="216"/>
      <c r="E265" s="216" t="s">
        <v>711</v>
      </c>
      <c r="F265" s="226" t="s">
        <v>712</v>
      </c>
      <c r="G265" s="227"/>
      <c r="H265" s="227"/>
      <c r="I265" s="216"/>
      <c r="J265" s="225">
        <v>466</v>
      </c>
      <c r="K265" s="228">
        <v>2.6064814814814815E-2</v>
      </c>
      <c r="L265" s="225" t="s">
        <v>459</v>
      </c>
      <c r="M265" s="219"/>
      <c r="N265" s="219"/>
      <c r="O265" s="216"/>
      <c r="P265" s="216"/>
      <c r="Q265" s="216"/>
      <c r="R265" s="220"/>
      <c r="S265" s="220"/>
      <c r="T265" s="220"/>
      <c r="U265" s="230"/>
      <c r="V265" s="231"/>
      <c r="W265" s="232"/>
      <c r="X265" s="233"/>
      <c r="Y265" s="219"/>
      <c r="Z265" s="219"/>
    </row>
    <row r="266" spans="1:26" ht="15.75" thickBot="1">
      <c r="A266" s="225">
        <v>113</v>
      </c>
      <c r="B266" s="216"/>
      <c r="C266" s="216"/>
      <c r="D266" s="216"/>
      <c r="E266" s="216" t="s">
        <v>718</v>
      </c>
      <c r="F266" s="226" t="s">
        <v>719</v>
      </c>
      <c r="G266" s="227"/>
      <c r="H266" s="227"/>
      <c r="I266" s="216"/>
      <c r="J266" s="225">
        <v>1000</v>
      </c>
      <c r="K266" s="228">
        <v>2.3506944444444445E-2</v>
      </c>
      <c r="L266" s="225" t="s">
        <v>459</v>
      </c>
      <c r="M266" s="219"/>
      <c r="N266" s="219"/>
      <c r="O266" s="216"/>
      <c r="P266" s="216"/>
      <c r="Q266" s="216"/>
      <c r="R266" s="220"/>
      <c r="S266" s="220"/>
      <c r="T266" s="220"/>
      <c r="U266" s="230"/>
      <c r="V266" s="231"/>
      <c r="W266" s="232"/>
      <c r="X266" s="233"/>
      <c r="Y266" s="219"/>
      <c r="Z266" s="219"/>
    </row>
    <row r="267" spans="1:26" ht="15.75" thickBot="1">
      <c r="A267" s="225">
        <v>114</v>
      </c>
      <c r="B267" s="216"/>
      <c r="C267" s="216"/>
      <c r="D267" s="216"/>
      <c r="E267" s="216" t="s">
        <v>722</v>
      </c>
      <c r="F267" s="226" t="s">
        <v>723</v>
      </c>
      <c r="G267" s="227"/>
      <c r="H267" s="227"/>
      <c r="I267" s="216"/>
      <c r="J267" s="225">
        <v>1400</v>
      </c>
      <c r="K267" s="228">
        <v>1.1608796296296296E-2</v>
      </c>
      <c r="L267" s="225" t="s">
        <v>459</v>
      </c>
      <c r="M267" s="219"/>
      <c r="N267" s="219"/>
      <c r="O267" s="216"/>
      <c r="P267" s="216"/>
      <c r="Q267" s="216"/>
      <c r="R267" s="220"/>
      <c r="S267" s="220"/>
      <c r="T267" s="220"/>
      <c r="U267" s="230"/>
      <c r="V267" s="231"/>
      <c r="W267" s="232"/>
      <c r="X267" s="233"/>
      <c r="Y267" s="219"/>
      <c r="Z267" s="219"/>
    </row>
    <row r="268" spans="1:26" ht="15.75" thickBot="1">
      <c r="A268" s="225">
        <v>115</v>
      </c>
      <c r="B268" s="216"/>
      <c r="C268" s="216"/>
      <c r="D268" s="216"/>
      <c r="E268" s="216" t="s">
        <v>731</v>
      </c>
      <c r="F268" s="226" t="s">
        <v>732</v>
      </c>
      <c r="G268" s="227"/>
      <c r="H268" s="227"/>
      <c r="I268" s="216"/>
      <c r="J268" s="225">
        <v>602</v>
      </c>
      <c r="K268" s="228">
        <v>2.1805555555555554E-2</v>
      </c>
      <c r="L268" s="225" t="s">
        <v>459</v>
      </c>
      <c r="M268" s="219"/>
      <c r="N268" s="219"/>
      <c r="O268" s="216"/>
      <c r="P268" s="216"/>
      <c r="Q268" s="216"/>
      <c r="R268" s="220"/>
      <c r="S268" s="220"/>
      <c r="T268" s="220"/>
      <c r="U268" s="230"/>
      <c r="V268" s="231"/>
      <c r="W268" s="232"/>
      <c r="X268" s="233"/>
      <c r="Y268" s="219"/>
      <c r="Z268" s="219"/>
    </row>
    <row r="269" spans="1:26" ht="15.75" thickBot="1">
      <c r="A269" s="225">
        <v>116</v>
      </c>
      <c r="B269" s="216"/>
      <c r="C269" s="216"/>
      <c r="D269" s="216"/>
      <c r="E269" s="216" t="s">
        <v>736</v>
      </c>
      <c r="F269" s="226" t="s">
        <v>737</v>
      </c>
      <c r="G269" s="227"/>
      <c r="H269" s="227"/>
      <c r="I269" s="216"/>
      <c r="J269" s="225">
        <v>317</v>
      </c>
      <c r="K269" s="228">
        <v>2.9108796296296296E-2</v>
      </c>
      <c r="L269" s="225" t="s">
        <v>459</v>
      </c>
      <c r="M269" s="219"/>
      <c r="N269" s="219"/>
      <c r="O269" s="216"/>
      <c r="P269" s="216"/>
      <c r="Q269" s="216"/>
      <c r="R269" s="220"/>
      <c r="S269" s="220"/>
      <c r="T269" s="220"/>
      <c r="U269" s="230"/>
      <c r="V269" s="231"/>
      <c r="W269" s="232"/>
      <c r="X269" s="233"/>
      <c r="Y269" s="219"/>
      <c r="Z269" s="219"/>
    </row>
    <row r="270" spans="1:26" ht="15.75" thickBot="1">
      <c r="A270" s="225">
        <v>117</v>
      </c>
      <c r="B270" s="216"/>
      <c r="C270" s="216"/>
      <c r="D270" s="216"/>
      <c r="E270" s="216" t="s">
        <v>739</v>
      </c>
      <c r="F270" s="226" t="s">
        <v>740</v>
      </c>
      <c r="G270" s="227"/>
      <c r="H270" s="227"/>
      <c r="I270" s="216"/>
      <c r="J270" s="225">
        <v>756</v>
      </c>
      <c r="K270" s="228">
        <v>1.3333333333333334E-2</v>
      </c>
      <c r="L270" s="225" t="s">
        <v>459</v>
      </c>
      <c r="M270" s="219"/>
      <c r="N270" s="219"/>
      <c r="O270" s="216"/>
      <c r="P270" s="216"/>
      <c r="Q270" s="216"/>
      <c r="R270" s="220"/>
      <c r="S270" s="220"/>
      <c r="T270" s="220"/>
      <c r="U270" s="230"/>
      <c r="V270" s="231"/>
      <c r="W270" s="232"/>
      <c r="X270" s="233"/>
      <c r="Y270" s="219"/>
      <c r="Z270" s="219"/>
    </row>
    <row r="271" spans="1:26" ht="15.75" thickBot="1">
      <c r="A271" s="225">
        <v>118</v>
      </c>
      <c r="B271" s="216"/>
      <c r="C271" s="216"/>
      <c r="D271" s="216"/>
      <c r="E271" s="216" t="s">
        <v>744</v>
      </c>
      <c r="F271" s="226" t="s">
        <v>745</v>
      </c>
      <c r="G271" s="227"/>
      <c r="H271" s="227"/>
      <c r="I271" s="216"/>
      <c r="J271" s="225">
        <v>493</v>
      </c>
      <c r="K271" s="228">
        <v>1.2581018518518519E-2</v>
      </c>
      <c r="L271" s="225" t="s">
        <v>459</v>
      </c>
      <c r="M271" s="219"/>
      <c r="N271" s="219"/>
      <c r="O271" s="216"/>
      <c r="P271" s="216"/>
      <c r="Q271" s="216"/>
      <c r="R271" s="220"/>
      <c r="S271" s="220"/>
      <c r="T271" s="220"/>
      <c r="U271" s="230"/>
      <c r="V271" s="231"/>
      <c r="W271" s="232"/>
      <c r="X271" s="233"/>
      <c r="Y271" s="219"/>
      <c r="Z271" s="219"/>
    </row>
    <row r="272" spans="1:26" ht="15.75" thickBot="1">
      <c r="A272" s="225">
        <v>119</v>
      </c>
      <c r="B272" s="216"/>
      <c r="C272" s="216"/>
      <c r="D272" s="216"/>
      <c r="E272" s="216" t="s">
        <v>748</v>
      </c>
      <c r="F272" s="226" t="s">
        <v>749</v>
      </c>
      <c r="G272" s="227"/>
      <c r="H272" s="227"/>
      <c r="I272" s="216"/>
      <c r="J272" s="225">
        <v>1000</v>
      </c>
      <c r="K272" s="228">
        <v>3.6481481481481483E-2</v>
      </c>
      <c r="L272" s="225" t="s">
        <v>459</v>
      </c>
      <c r="M272" s="219"/>
      <c r="N272" s="219"/>
      <c r="O272" s="216"/>
      <c r="P272" s="216"/>
      <c r="Q272" s="216"/>
      <c r="R272" s="220"/>
      <c r="S272" s="220"/>
      <c r="T272" s="220"/>
      <c r="U272" s="230"/>
      <c r="V272" s="231"/>
      <c r="W272" s="232"/>
      <c r="X272" s="233"/>
      <c r="Y272" s="219"/>
      <c r="Z272" s="219"/>
    </row>
    <row r="273" spans="1:26" ht="15.75" thickBot="1">
      <c r="A273" s="225">
        <v>120</v>
      </c>
      <c r="B273" s="216"/>
      <c r="C273" s="216"/>
      <c r="D273" s="216"/>
      <c r="E273" s="216" t="s">
        <v>751</v>
      </c>
      <c r="F273" s="226" t="s">
        <v>752</v>
      </c>
      <c r="G273" s="227"/>
      <c r="H273" s="227"/>
      <c r="I273" s="216"/>
      <c r="J273" s="225">
        <v>619</v>
      </c>
      <c r="K273" s="228">
        <v>3.5949074074074071E-2</v>
      </c>
      <c r="L273" s="225" t="s">
        <v>459</v>
      </c>
      <c r="M273" s="219"/>
      <c r="N273" s="219"/>
      <c r="O273" s="216"/>
      <c r="P273" s="216"/>
      <c r="Q273" s="216"/>
      <c r="R273" s="220"/>
      <c r="S273" s="220"/>
      <c r="T273" s="220"/>
      <c r="U273" s="230"/>
      <c r="V273" s="231"/>
      <c r="W273" s="232"/>
      <c r="X273" s="233"/>
      <c r="Y273" s="219"/>
      <c r="Z273" s="219"/>
    </row>
    <row r="274" spans="1:26" ht="15.75" thickBot="1">
      <c r="A274" s="225">
        <v>121</v>
      </c>
      <c r="B274" s="216"/>
      <c r="C274" s="216"/>
      <c r="D274" s="216"/>
      <c r="E274" s="216" t="s">
        <v>755</v>
      </c>
      <c r="F274" s="226" t="s">
        <v>756</v>
      </c>
      <c r="G274" s="227"/>
      <c r="H274" s="227"/>
      <c r="I274" s="216"/>
      <c r="J274" s="225">
        <v>658</v>
      </c>
      <c r="K274" s="228">
        <v>3.7592592592592594E-2</v>
      </c>
      <c r="L274" s="225" t="s">
        <v>459</v>
      </c>
      <c r="M274" s="219"/>
      <c r="N274" s="219"/>
      <c r="O274" s="216"/>
      <c r="P274" s="216"/>
      <c r="Q274" s="216"/>
      <c r="R274" s="220"/>
      <c r="S274" s="220"/>
      <c r="T274" s="220"/>
      <c r="U274" s="230"/>
      <c r="V274" s="231"/>
      <c r="W274" s="232"/>
      <c r="X274" s="233"/>
      <c r="Y274" s="219"/>
      <c r="Z274" s="219"/>
    </row>
    <row r="275" spans="1:26" ht="15.75" thickBot="1">
      <c r="A275" s="225">
        <v>122</v>
      </c>
      <c r="B275" s="216"/>
      <c r="C275" s="216"/>
      <c r="D275" s="216"/>
      <c r="E275" s="216" t="s">
        <v>762</v>
      </c>
      <c r="F275" s="226" t="s">
        <v>763</v>
      </c>
      <c r="G275" s="227"/>
      <c r="H275" s="227"/>
      <c r="I275" s="216"/>
      <c r="J275" s="225">
        <v>1500</v>
      </c>
      <c r="K275" s="228">
        <v>4.7395833333333331E-2</v>
      </c>
      <c r="L275" s="225" t="s">
        <v>459</v>
      </c>
      <c r="M275" s="219"/>
      <c r="N275" s="219"/>
      <c r="O275" s="216"/>
      <c r="P275" s="216"/>
      <c r="Q275" s="216"/>
      <c r="R275" s="220"/>
      <c r="S275" s="220"/>
      <c r="T275" s="220"/>
      <c r="U275" s="230"/>
      <c r="V275" s="231"/>
      <c r="W275" s="232"/>
      <c r="X275" s="233"/>
      <c r="Y275" s="219"/>
      <c r="Z275" s="219"/>
    </row>
    <row r="276" spans="1:26" ht="15.75" thickBot="1">
      <c r="A276" s="225">
        <v>123</v>
      </c>
      <c r="B276" s="216"/>
      <c r="C276" s="216"/>
      <c r="D276" s="216"/>
      <c r="E276" s="216" t="s">
        <v>766</v>
      </c>
      <c r="F276" s="226" t="s">
        <v>767</v>
      </c>
      <c r="G276" s="227"/>
      <c r="H276" s="227"/>
      <c r="I276" s="216"/>
      <c r="J276" s="225">
        <v>2100</v>
      </c>
      <c r="K276" s="228">
        <v>4.7511574074074074E-2</v>
      </c>
      <c r="L276" s="225" t="s">
        <v>459</v>
      </c>
      <c r="M276" s="219"/>
      <c r="N276" s="219"/>
      <c r="O276" s="216"/>
      <c r="P276" s="216"/>
      <c r="Q276" s="216"/>
      <c r="R276" s="220"/>
      <c r="S276" s="220"/>
      <c r="T276" s="220"/>
      <c r="U276" s="230"/>
      <c r="V276" s="231"/>
      <c r="W276" s="232"/>
      <c r="X276" s="233"/>
      <c r="Y276" s="219"/>
      <c r="Z276" s="219"/>
    </row>
    <row r="277" spans="1:26" ht="15.75" thickBot="1">
      <c r="A277" s="225">
        <v>124</v>
      </c>
      <c r="B277" s="216"/>
      <c r="C277" s="216"/>
      <c r="D277" s="216"/>
      <c r="E277" s="216" t="s">
        <v>768</v>
      </c>
      <c r="F277" s="226" t="s">
        <v>769</v>
      </c>
      <c r="G277" s="227"/>
      <c r="H277" s="227"/>
      <c r="I277" s="216"/>
      <c r="J277" s="225">
        <v>1100</v>
      </c>
      <c r="K277" s="228">
        <v>1.5659722222222224E-2</v>
      </c>
      <c r="L277" s="225" t="s">
        <v>459</v>
      </c>
      <c r="M277" s="219"/>
      <c r="N277" s="219"/>
      <c r="O277" s="216"/>
      <c r="P277" s="216"/>
      <c r="Q277" s="216"/>
      <c r="R277" s="220"/>
      <c r="S277" s="220"/>
      <c r="T277" s="220"/>
      <c r="U277" s="230"/>
      <c r="V277" s="231"/>
      <c r="W277" s="232"/>
      <c r="X277" s="233"/>
      <c r="Y277" s="219"/>
      <c r="Z277" s="219"/>
    </row>
    <row r="278" spans="1:26" ht="15.75" thickBot="1">
      <c r="A278" s="225">
        <v>125</v>
      </c>
      <c r="B278" s="216"/>
      <c r="C278" s="216"/>
      <c r="D278" s="216"/>
      <c r="E278" s="216" t="s">
        <v>772</v>
      </c>
      <c r="F278" s="226" t="s">
        <v>773</v>
      </c>
      <c r="G278" s="227"/>
      <c r="H278" s="227"/>
      <c r="I278" s="216"/>
      <c r="J278" s="225">
        <v>2300</v>
      </c>
      <c r="K278" s="228">
        <v>5.4293981481481485E-2</v>
      </c>
      <c r="L278" s="225" t="s">
        <v>459</v>
      </c>
      <c r="M278" s="219"/>
      <c r="N278" s="219"/>
      <c r="O278" s="216"/>
      <c r="P278" s="216"/>
      <c r="Q278" s="216"/>
      <c r="R278" s="220"/>
      <c r="S278" s="220"/>
      <c r="T278" s="220"/>
      <c r="U278" s="230"/>
      <c r="V278" s="231"/>
      <c r="W278" s="232"/>
      <c r="X278" s="233"/>
      <c r="Y278" s="219"/>
      <c r="Z278" s="219"/>
    </row>
    <row r="279" spans="1:26" ht="15.75" thickBot="1">
      <c r="A279" s="225">
        <v>126</v>
      </c>
      <c r="B279" s="216"/>
      <c r="C279" s="216"/>
      <c r="D279" s="216"/>
      <c r="E279" s="216" t="s">
        <v>775</v>
      </c>
      <c r="F279" s="226" t="s">
        <v>776</v>
      </c>
      <c r="G279" s="227"/>
      <c r="H279" s="227"/>
      <c r="I279" s="216"/>
      <c r="J279" s="225">
        <v>2100</v>
      </c>
      <c r="K279" s="228">
        <v>2.6249999999999999E-2</v>
      </c>
      <c r="L279" s="225" t="s">
        <v>459</v>
      </c>
      <c r="M279" s="219"/>
      <c r="N279" s="219"/>
      <c r="O279" s="216"/>
      <c r="P279" s="216"/>
      <c r="Q279" s="216"/>
      <c r="R279" s="220"/>
      <c r="S279" s="220"/>
      <c r="T279" s="220"/>
      <c r="U279" s="230"/>
      <c r="V279" s="231"/>
      <c r="W279" s="232"/>
      <c r="X279" s="233"/>
      <c r="Y279" s="219"/>
      <c r="Z279" s="219"/>
    </row>
    <row r="280" spans="1:26" ht="15.75" thickBot="1">
      <c r="A280" s="225">
        <v>127</v>
      </c>
      <c r="B280" s="216"/>
      <c r="C280" s="216"/>
      <c r="D280" s="216"/>
      <c r="E280" s="216" t="s">
        <v>779</v>
      </c>
      <c r="F280" s="226" t="s">
        <v>780</v>
      </c>
      <c r="G280" s="227"/>
      <c r="H280" s="227"/>
      <c r="I280" s="216"/>
      <c r="J280" s="225">
        <v>2400</v>
      </c>
      <c r="K280" s="228">
        <v>2.8645833333333332E-2</v>
      </c>
      <c r="L280" s="225" t="s">
        <v>459</v>
      </c>
      <c r="M280" s="219"/>
      <c r="N280" s="219"/>
      <c r="O280" s="216"/>
      <c r="P280" s="216"/>
      <c r="Q280" s="216"/>
      <c r="R280" s="220"/>
      <c r="S280" s="220"/>
      <c r="T280" s="220"/>
      <c r="U280" s="230"/>
      <c r="V280" s="231"/>
      <c r="W280" s="232"/>
      <c r="X280" s="233"/>
      <c r="Y280" s="219"/>
      <c r="Z280" s="219"/>
    </row>
    <row r="281" spans="1:26" ht="15.75" thickBot="1">
      <c r="A281" s="225">
        <v>128</v>
      </c>
      <c r="B281" s="216"/>
      <c r="C281" s="216"/>
      <c r="D281" s="216"/>
      <c r="E281" s="216" t="s">
        <v>781</v>
      </c>
      <c r="F281" s="226" t="s">
        <v>782</v>
      </c>
      <c r="G281" s="227"/>
      <c r="H281" s="227"/>
      <c r="I281" s="216"/>
      <c r="J281" s="225">
        <v>1400</v>
      </c>
      <c r="K281" s="228">
        <v>3.318287037037037E-2</v>
      </c>
      <c r="L281" s="225" t="s">
        <v>459</v>
      </c>
      <c r="M281" s="219"/>
      <c r="N281" s="219"/>
      <c r="O281" s="216"/>
      <c r="P281" s="216"/>
      <c r="Q281" s="216"/>
      <c r="R281" s="220"/>
      <c r="S281" s="220"/>
      <c r="T281" s="220"/>
      <c r="U281" s="230"/>
      <c r="V281" s="231"/>
      <c r="W281" s="232"/>
      <c r="X281" s="233"/>
      <c r="Y281" s="219"/>
      <c r="Z281" s="219"/>
    </row>
    <row r="282" spans="1:26" ht="15.75" thickBot="1">
      <c r="A282" s="225">
        <v>129</v>
      </c>
      <c r="B282" s="216"/>
      <c r="C282" s="216"/>
      <c r="D282" s="216"/>
      <c r="E282" s="216" t="s">
        <v>783</v>
      </c>
      <c r="F282" s="226" t="s">
        <v>784</v>
      </c>
      <c r="G282" s="227"/>
      <c r="H282" s="227"/>
      <c r="I282" s="216"/>
      <c r="J282" s="225">
        <v>19000</v>
      </c>
      <c r="K282" s="228">
        <v>1.1620370370370371E-2</v>
      </c>
      <c r="L282" s="225" t="s">
        <v>459</v>
      </c>
      <c r="M282" s="219"/>
      <c r="N282" s="219"/>
      <c r="O282" s="216"/>
      <c r="P282" s="216"/>
      <c r="Q282" s="216"/>
      <c r="R282" s="220"/>
      <c r="S282" s="220"/>
      <c r="T282" s="220"/>
      <c r="U282" s="230"/>
      <c r="V282" s="231"/>
      <c r="W282" s="232"/>
      <c r="X282" s="233"/>
      <c r="Y282" s="219"/>
      <c r="Z282" s="219"/>
    </row>
    <row r="283" spans="1:26" ht="15.75" thickBot="1">
      <c r="A283" s="225">
        <v>130</v>
      </c>
      <c r="B283" s="216"/>
      <c r="C283" s="216"/>
      <c r="D283" s="216"/>
      <c r="E283" s="216" t="s">
        <v>787</v>
      </c>
      <c r="F283" s="226" t="s">
        <v>788</v>
      </c>
      <c r="G283" s="227"/>
      <c r="H283" s="227"/>
      <c r="I283" s="216"/>
      <c r="J283" s="225">
        <v>651</v>
      </c>
      <c r="K283" s="228">
        <v>3.9814814814814817E-3</v>
      </c>
      <c r="L283" s="225" t="s">
        <v>459</v>
      </c>
      <c r="M283" s="219"/>
      <c r="N283" s="219"/>
      <c r="O283" s="216"/>
      <c r="P283" s="216"/>
      <c r="Q283" s="216"/>
      <c r="R283" s="220"/>
      <c r="S283" s="220"/>
      <c r="T283" s="220"/>
      <c r="U283" s="230"/>
      <c r="V283" s="231"/>
      <c r="W283" s="232"/>
      <c r="X283" s="233"/>
      <c r="Y283" s="219"/>
      <c r="Z283" s="219"/>
    </row>
    <row r="284" spans="1:26" ht="15.75" thickBot="1">
      <c r="A284" s="225">
        <v>131</v>
      </c>
      <c r="B284" s="216"/>
      <c r="C284" s="216"/>
      <c r="D284" s="216"/>
      <c r="E284" s="216" t="s">
        <v>789</v>
      </c>
      <c r="F284" s="226" t="s">
        <v>790</v>
      </c>
      <c r="G284" s="227"/>
      <c r="H284" s="227"/>
      <c r="I284" s="216"/>
      <c r="J284" s="225">
        <v>667</v>
      </c>
      <c r="K284" s="228">
        <v>3.0092592592592588E-3</v>
      </c>
      <c r="L284" s="225" t="s">
        <v>459</v>
      </c>
      <c r="M284" s="219"/>
      <c r="N284" s="219"/>
      <c r="O284" s="216"/>
      <c r="P284" s="216"/>
      <c r="Q284" s="216"/>
      <c r="R284" s="220"/>
      <c r="S284" s="220"/>
      <c r="T284" s="220"/>
      <c r="U284" s="230"/>
      <c r="V284" s="231"/>
      <c r="W284" s="232"/>
      <c r="X284" s="233"/>
      <c r="Y284" s="219"/>
      <c r="Z284" s="219"/>
    </row>
    <row r="285" spans="1:26" ht="15.75" thickBot="1">
      <c r="A285" s="225">
        <v>132</v>
      </c>
      <c r="B285" s="216"/>
      <c r="C285" s="216"/>
      <c r="D285" s="216"/>
      <c r="E285" s="216" t="s">
        <v>791</v>
      </c>
      <c r="F285" s="226" t="s">
        <v>792</v>
      </c>
      <c r="G285" s="227"/>
      <c r="H285" s="227"/>
      <c r="I285" s="216"/>
      <c r="J285" s="225">
        <v>446</v>
      </c>
      <c r="K285" s="228">
        <v>1.6087962962962963E-3</v>
      </c>
      <c r="L285" s="225" t="s">
        <v>459</v>
      </c>
      <c r="M285" s="219"/>
      <c r="N285" s="219"/>
      <c r="O285" s="216"/>
      <c r="P285" s="216"/>
      <c r="Q285" s="216"/>
      <c r="R285" s="220"/>
      <c r="S285" s="220"/>
      <c r="T285" s="220"/>
      <c r="U285" s="230"/>
      <c r="V285" s="231"/>
      <c r="W285" s="232"/>
      <c r="X285" s="233"/>
      <c r="Y285" s="219"/>
      <c r="Z285" s="219"/>
    </row>
    <row r="286" spans="1:26" ht="15.75" thickBot="1">
      <c r="A286" s="225">
        <v>133</v>
      </c>
      <c r="B286" s="216"/>
      <c r="C286" s="216"/>
      <c r="D286" s="216"/>
      <c r="E286" s="216" t="s">
        <v>795</v>
      </c>
      <c r="F286" s="226" t="s">
        <v>796</v>
      </c>
      <c r="G286" s="227"/>
      <c r="H286" s="227"/>
      <c r="I286" s="216"/>
      <c r="J286" s="225">
        <v>1500</v>
      </c>
      <c r="K286" s="228">
        <v>2.0995370370370373E-2</v>
      </c>
      <c r="L286" s="225" t="s">
        <v>459</v>
      </c>
      <c r="M286" s="219"/>
      <c r="N286" s="219"/>
      <c r="O286" s="216"/>
      <c r="P286" s="216"/>
      <c r="Q286" s="216"/>
      <c r="R286" s="220"/>
      <c r="S286" s="220"/>
      <c r="T286" s="220"/>
      <c r="U286" s="230"/>
      <c r="V286" s="231"/>
      <c r="W286" s="232"/>
      <c r="X286" s="233"/>
      <c r="Y286" s="219"/>
      <c r="Z286" s="219"/>
    </row>
    <row r="287" spans="1:26" ht="15.75" thickBot="1">
      <c r="A287" s="225">
        <v>134</v>
      </c>
      <c r="B287" s="216"/>
      <c r="C287" s="216"/>
      <c r="D287" s="216"/>
      <c r="E287" s="216" t="s">
        <v>798</v>
      </c>
      <c r="F287" s="226" t="s">
        <v>799</v>
      </c>
      <c r="G287" s="227"/>
      <c r="H287" s="227"/>
      <c r="I287" s="216"/>
      <c r="J287" s="225">
        <v>919</v>
      </c>
      <c r="K287" s="228">
        <v>3.9479166666666669E-2</v>
      </c>
      <c r="L287" s="225" t="s">
        <v>459</v>
      </c>
      <c r="M287" s="219"/>
      <c r="N287" s="219"/>
      <c r="O287" s="216"/>
      <c r="P287" s="216"/>
      <c r="Q287" s="216"/>
      <c r="R287" s="220"/>
      <c r="S287" s="220"/>
      <c r="T287" s="220"/>
      <c r="U287" s="230"/>
      <c r="V287" s="231"/>
      <c r="W287" s="232"/>
      <c r="X287" s="233"/>
      <c r="Y287" s="219"/>
      <c r="Z287" s="219"/>
    </row>
    <row r="288" spans="1:26" ht="15.75" thickBot="1">
      <c r="A288" s="225">
        <v>135</v>
      </c>
      <c r="B288" s="216"/>
      <c r="C288" s="216"/>
      <c r="D288" s="216"/>
      <c r="E288" s="216" t="s">
        <v>802</v>
      </c>
      <c r="F288" s="226" t="s">
        <v>803</v>
      </c>
      <c r="G288" s="227"/>
      <c r="H288" s="227"/>
      <c r="I288" s="216"/>
      <c r="J288" s="225">
        <v>1000</v>
      </c>
      <c r="K288" s="228">
        <v>1.2499999999999999E-2</v>
      </c>
      <c r="L288" s="225" t="s">
        <v>459</v>
      </c>
      <c r="M288" s="219"/>
      <c r="N288" s="219"/>
      <c r="O288" s="216"/>
      <c r="P288" s="216"/>
      <c r="Q288" s="216"/>
      <c r="R288" s="220"/>
      <c r="S288" s="220"/>
      <c r="T288" s="220"/>
      <c r="U288" s="230"/>
      <c r="V288" s="231"/>
      <c r="W288" s="232"/>
      <c r="X288" s="233"/>
      <c r="Y288" s="219"/>
      <c r="Z288" s="219"/>
    </row>
    <row r="289" spans="1:26" ht="15.75" thickBot="1">
      <c r="A289" s="225">
        <v>136</v>
      </c>
      <c r="B289" s="216"/>
      <c r="C289" s="216"/>
      <c r="D289" s="216"/>
      <c r="E289" s="216" t="s">
        <v>804</v>
      </c>
      <c r="F289" s="226" t="s">
        <v>805</v>
      </c>
      <c r="G289" s="227"/>
      <c r="H289" s="227"/>
      <c r="I289" s="216"/>
      <c r="J289" s="225">
        <v>246</v>
      </c>
      <c r="K289" s="228">
        <v>1.8055555555555557E-3</v>
      </c>
      <c r="L289" s="225" t="s">
        <v>459</v>
      </c>
      <c r="M289" s="219"/>
      <c r="N289" s="219"/>
      <c r="O289" s="216"/>
      <c r="P289" s="216"/>
      <c r="Q289" s="216"/>
      <c r="R289" s="220"/>
      <c r="S289" s="220"/>
      <c r="T289" s="220"/>
      <c r="U289" s="230"/>
      <c r="V289" s="231"/>
      <c r="W289" s="232"/>
      <c r="X289" s="233"/>
      <c r="Y289" s="219"/>
      <c r="Z289" s="219"/>
    </row>
    <row r="290" spans="1:26" ht="15.75" thickBot="1">
      <c r="A290" s="225">
        <v>137</v>
      </c>
      <c r="B290" s="216"/>
      <c r="C290" s="216"/>
      <c r="D290" s="216"/>
      <c r="E290" s="216" t="s">
        <v>806</v>
      </c>
      <c r="F290" s="226" t="s">
        <v>807</v>
      </c>
      <c r="G290" s="227"/>
      <c r="H290" s="227"/>
      <c r="I290" s="216"/>
      <c r="J290" s="225">
        <v>10000</v>
      </c>
      <c r="K290" s="228">
        <v>3.1759259259259258E-2</v>
      </c>
      <c r="L290" s="225" t="s">
        <v>459</v>
      </c>
      <c r="M290" s="219"/>
      <c r="N290" s="219"/>
      <c r="O290" s="216"/>
      <c r="P290" s="216"/>
      <c r="Q290" s="216"/>
      <c r="R290" s="220"/>
      <c r="S290" s="220"/>
      <c r="T290" s="220"/>
      <c r="U290" s="230"/>
      <c r="V290" s="231"/>
      <c r="W290" s="232"/>
      <c r="X290" s="233"/>
      <c r="Y290" s="219"/>
      <c r="Z290" s="219"/>
    </row>
    <row r="291" spans="1:26" ht="15.75" thickBot="1">
      <c r="A291" s="225">
        <v>138</v>
      </c>
      <c r="B291" s="216"/>
      <c r="C291" s="216"/>
      <c r="D291" s="216"/>
      <c r="E291" s="216" t="s">
        <v>809</v>
      </c>
      <c r="F291" s="226" t="s">
        <v>810</v>
      </c>
      <c r="G291" s="227"/>
      <c r="H291" s="227"/>
      <c r="I291" s="216"/>
      <c r="J291" s="225">
        <v>955</v>
      </c>
      <c r="K291" s="228">
        <v>5.5208333333333333E-3</v>
      </c>
      <c r="L291" s="225" t="s">
        <v>459</v>
      </c>
      <c r="M291" s="219"/>
      <c r="N291" s="219"/>
      <c r="O291" s="216"/>
      <c r="P291" s="216"/>
      <c r="Q291" s="216"/>
      <c r="R291" s="220"/>
      <c r="S291" s="220"/>
      <c r="T291" s="220"/>
      <c r="U291" s="230"/>
      <c r="V291" s="231"/>
      <c r="W291" s="232"/>
      <c r="X291" s="233"/>
      <c r="Y291" s="219"/>
      <c r="Z291" s="219"/>
    </row>
    <row r="292" spans="1:26" ht="15.75" thickBot="1">
      <c r="A292" s="225">
        <v>139</v>
      </c>
      <c r="B292" s="216"/>
      <c r="C292" s="216"/>
      <c r="D292" s="216"/>
      <c r="E292" s="216" t="s">
        <v>812</v>
      </c>
      <c r="F292" s="226" t="s">
        <v>813</v>
      </c>
      <c r="G292" s="227"/>
      <c r="H292" s="227"/>
      <c r="I292" s="216"/>
      <c r="J292" s="225">
        <v>5600</v>
      </c>
      <c r="K292" s="228">
        <v>3.7083333333333336E-2</v>
      </c>
      <c r="L292" s="225" t="s">
        <v>459</v>
      </c>
      <c r="M292" s="219"/>
      <c r="N292" s="219"/>
      <c r="O292" s="216"/>
      <c r="P292" s="216"/>
      <c r="Q292" s="216"/>
      <c r="R292" s="220"/>
      <c r="S292" s="220"/>
      <c r="T292" s="220"/>
      <c r="U292" s="230"/>
      <c r="V292" s="231"/>
      <c r="W292" s="232"/>
      <c r="X292" s="233"/>
      <c r="Y292" s="219"/>
      <c r="Z292" s="219"/>
    </row>
    <row r="293" spans="1:26" ht="15.75" thickBot="1">
      <c r="A293" s="225">
        <v>140</v>
      </c>
      <c r="B293" s="216"/>
      <c r="C293" s="216"/>
      <c r="D293" s="216"/>
      <c r="E293" s="216" t="s">
        <v>814</v>
      </c>
      <c r="F293" s="226" t="s">
        <v>815</v>
      </c>
      <c r="G293" s="227"/>
      <c r="H293" s="227"/>
      <c r="I293" s="216"/>
      <c r="J293" s="225">
        <v>1000</v>
      </c>
      <c r="K293" s="228">
        <v>3.3622685185185179E-2</v>
      </c>
      <c r="L293" s="225" t="s">
        <v>459</v>
      </c>
      <c r="M293" s="219"/>
      <c r="N293" s="219"/>
      <c r="O293" s="216"/>
      <c r="P293" s="216"/>
      <c r="Q293" s="216"/>
      <c r="R293" s="220"/>
      <c r="S293" s="220"/>
      <c r="T293" s="220"/>
      <c r="U293" s="230"/>
      <c r="V293" s="231"/>
      <c r="W293" s="232"/>
      <c r="X293" s="233"/>
      <c r="Y293" s="219"/>
      <c r="Z293" s="219"/>
    </row>
    <row r="294" spans="1:26" ht="15.75" thickBot="1">
      <c r="A294" s="225">
        <v>141</v>
      </c>
      <c r="B294" s="216"/>
      <c r="C294" s="216"/>
      <c r="D294" s="216"/>
      <c r="E294" s="216" t="s">
        <v>817</v>
      </c>
      <c r="F294" s="226" t="s">
        <v>818</v>
      </c>
      <c r="G294" s="227"/>
      <c r="H294" s="227"/>
      <c r="I294" s="216"/>
      <c r="J294" s="225">
        <v>758</v>
      </c>
      <c r="K294" s="228">
        <v>2.9050925925925928E-2</v>
      </c>
      <c r="L294" s="225" t="s">
        <v>459</v>
      </c>
      <c r="M294" s="219"/>
      <c r="N294" s="219"/>
      <c r="O294" s="216"/>
      <c r="P294" s="216"/>
      <c r="Q294" s="216"/>
      <c r="R294" s="220"/>
      <c r="S294" s="220"/>
      <c r="T294" s="220"/>
      <c r="U294" s="230"/>
      <c r="V294" s="231"/>
      <c r="W294" s="232"/>
      <c r="X294" s="233"/>
      <c r="Y294" s="219"/>
      <c r="Z294" s="219"/>
    </row>
    <row r="295" spans="1:26" ht="15.75" thickBot="1">
      <c r="A295" s="225">
        <v>142</v>
      </c>
      <c r="B295" s="216"/>
      <c r="C295" s="216"/>
      <c r="D295" s="216"/>
      <c r="E295" s="216" t="s">
        <v>820</v>
      </c>
      <c r="F295" s="226" t="s">
        <v>821</v>
      </c>
      <c r="G295" s="227"/>
      <c r="H295" s="227"/>
      <c r="I295" s="216"/>
      <c r="J295" s="225">
        <v>483</v>
      </c>
      <c r="K295" s="228">
        <v>2.1400462962962965E-2</v>
      </c>
      <c r="L295" s="225" t="s">
        <v>459</v>
      </c>
      <c r="M295" s="219"/>
      <c r="N295" s="219"/>
      <c r="O295" s="216"/>
      <c r="P295" s="216"/>
      <c r="Q295" s="216"/>
      <c r="R295" s="220"/>
      <c r="S295" s="220"/>
      <c r="T295" s="220"/>
      <c r="U295" s="230"/>
      <c r="V295" s="231"/>
      <c r="W295" s="232"/>
      <c r="X295" s="233"/>
      <c r="Y295" s="219"/>
      <c r="Z295" s="219"/>
    </row>
    <row r="296" spans="1:26" ht="15.75" thickBot="1">
      <c r="A296" s="225">
        <v>143</v>
      </c>
      <c r="B296" s="216"/>
      <c r="C296" s="216"/>
      <c r="D296" s="216"/>
      <c r="E296" s="216" t="s">
        <v>823</v>
      </c>
      <c r="F296" s="226" t="s">
        <v>824</v>
      </c>
      <c r="G296" s="227"/>
      <c r="H296" s="227"/>
      <c r="I296" s="216"/>
      <c r="J296" s="225">
        <v>435</v>
      </c>
      <c r="K296" s="228">
        <v>1.4490740740740742E-2</v>
      </c>
      <c r="L296" s="225" t="s">
        <v>459</v>
      </c>
      <c r="M296" s="219"/>
      <c r="N296" s="219"/>
      <c r="O296" s="216"/>
      <c r="P296" s="216"/>
      <c r="Q296" s="216"/>
      <c r="R296" s="220"/>
      <c r="S296" s="220"/>
      <c r="T296" s="220"/>
      <c r="U296" s="230"/>
      <c r="V296" s="231"/>
      <c r="W296" s="232"/>
      <c r="X296" s="233"/>
      <c r="Y296" s="219"/>
      <c r="Z296" s="219"/>
    </row>
    <row r="297" spans="1:26" ht="15.75" thickBot="1">
      <c r="A297" s="225">
        <v>144</v>
      </c>
      <c r="B297" s="216"/>
      <c r="C297" s="216"/>
      <c r="D297" s="216"/>
      <c r="E297" s="216" t="s">
        <v>825</v>
      </c>
      <c r="F297" s="226" t="s">
        <v>826</v>
      </c>
      <c r="G297" s="227"/>
      <c r="H297" s="227"/>
      <c r="I297" s="216"/>
      <c r="J297" s="225">
        <v>409</v>
      </c>
      <c r="K297" s="228">
        <v>1.105324074074074E-2</v>
      </c>
      <c r="L297" s="225" t="s">
        <v>459</v>
      </c>
      <c r="M297" s="219"/>
      <c r="N297" s="219"/>
      <c r="O297" s="216"/>
      <c r="P297" s="216"/>
      <c r="Q297" s="216"/>
      <c r="R297" s="220"/>
      <c r="S297" s="220"/>
      <c r="T297" s="220"/>
      <c r="U297" s="230"/>
      <c r="V297" s="231"/>
      <c r="W297" s="232"/>
      <c r="X297" s="233"/>
      <c r="Y297" s="219"/>
      <c r="Z297" s="219"/>
    </row>
    <row r="298" spans="1:26" ht="15.75" thickBot="1">
      <c r="A298" s="225">
        <v>145</v>
      </c>
      <c r="B298" s="216"/>
      <c r="C298" s="216"/>
      <c r="D298" s="216"/>
      <c r="E298" s="216" t="s">
        <v>829</v>
      </c>
      <c r="F298" s="226" t="s">
        <v>830</v>
      </c>
      <c r="G298" s="227"/>
      <c r="H298" s="227"/>
      <c r="I298" s="216"/>
      <c r="J298" s="225">
        <v>925</v>
      </c>
      <c r="K298" s="228">
        <v>2.0173611111111111E-2</v>
      </c>
      <c r="L298" s="225" t="s">
        <v>459</v>
      </c>
      <c r="M298" s="219"/>
      <c r="N298" s="219"/>
      <c r="O298" s="216"/>
      <c r="P298" s="216"/>
      <c r="Q298" s="216"/>
      <c r="R298" s="220"/>
      <c r="S298" s="220"/>
      <c r="T298" s="220"/>
      <c r="U298" s="230"/>
      <c r="V298" s="231"/>
      <c r="W298" s="232"/>
      <c r="X298" s="233"/>
      <c r="Y298" s="219"/>
      <c r="Z298" s="219"/>
    </row>
    <row r="299" spans="1:26" ht="15.75" thickBot="1">
      <c r="A299" s="225">
        <v>146</v>
      </c>
      <c r="B299" s="216"/>
      <c r="C299" s="216"/>
      <c r="D299" s="216"/>
      <c r="E299" s="216" t="s">
        <v>832</v>
      </c>
      <c r="F299" s="226" t="s">
        <v>834</v>
      </c>
      <c r="G299" s="227"/>
      <c r="H299" s="227"/>
      <c r="I299" s="216"/>
      <c r="J299" s="225">
        <v>427</v>
      </c>
      <c r="K299" s="228">
        <v>3.1249999999999997E-3</v>
      </c>
      <c r="L299" s="225" t="s">
        <v>459</v>
      </c>
      <c r="M299" s="219"/>
      <c r="N299" s="219"/>
      <c r="O299" s="216"/>
      <c r="P299" s="216"/>
      <c r="Q299" s="216"/>
      <c r="R299" s="220"/>
      <c r="S299" s="220"/>
      <c r="T299" s="220"/>
      <c r="U299" s="230"/>
      <c r="V299" s="231"/>
      <c r="W299" s="232"/>
      <c r="X299" s="233"/>
      <c r="Y299" s="219"/>
      <c r="Z299" s="219"/>
    </row>
    <row r="300" spans="1:26" ht="15.75" thickBot="1">
      <c r="A300" s="225">
        <v>147</v>
      </c>
      <c r="B300" s="216"/>
      <c r="C300" s="216"/>
      <c r="D300" s="216"/>
      <c r="E300" s="216" t="s">
        <v>836</v>
      </c>
      <c r="F300" s="226" t="s">
        <v>837</v>
      </c>
      <c r="G300" s="227"/>
      <c r="H300" s="227"/>
      <c r="I300" s="216"/>
      <c r="J300" s="225">
        <v>3500</v>
      </c>
      <c r="K300" s="228">
        <v>2.5208333333333333E-2</v>
      </c>
      <c r="L300" s="225" t="s">
        <v>459</v>
      </c>
      <c r="M300" s="219"/>
      <c r="N300" s="219"/>
      <c r="O300" s="216"/>
      <c r="P300" s="216"/>
      <c r="Q300" s="216"/>
      <c r="R300" s="220"/>
      <c r="S300" s="220"/>
      <c r="T300" s="220"/>
      <c r="U300" s="230"/>
      <c r="V300" s="231"/>
      <c r="W300" s="232"/>
      <c r="X300" s="233"/>
      <c r="Y300" s="219"/>
      <c r="Z300" s="219"/>
    </row>
    <row r="301" spans="1:26" ht="15.75" thickBot="1">
      <c r="A301" s="225">
        <v>148</v>
      </c>
      <c r="B301" s="216"/>
      <c r="C301" s="216"/>
      <c r="D301" s="216"/>
      <c r="E301" s="216" t="s">
        <v>840</v>
      </c>
      <c r="F301" s="226" t="s">
        <v>841</v>
      </c>
      <c r="G301" s="227"/>
      <c r="H301" s="227"/>
      <c r="I301" s="216"/>
      <c r="J301" s="225">
        <v>1100</v>
      </c>
      <c r="K301" s="228">
        <v>3.6597222222222225E-2</v>
      </c>
      <c r="L301" s="225" t="s">
        <v>459</v>
      </c>
      <c r="M301" s="219"/>
      <c r="N301" s="219"/>
      <c r="O301" s="216"/>
      <c r="P301" s="216"/>
      <c r="Q301" s="216"/>
      <c r="R301" s="220"/>
      <c r="S301" s="220"/>
      <c r="T301" s="220"/>
      <c r="U301" s="230"/>
      <c r="V301" s="231"/>
      <c r="W301" s="232"/>
      <c r="X301" s="233"/>
      <c r="Y301" s="219"/>
      <c r="Z301" s="219"/>
    </row>
    <row r="302" spans="1:26" ht="15.75" thickBot="1">
      <c r="A302" s="225">
        <v>149</v>
      </c>
      <c r="B302" s="216"/>
      <c r="C302" s="216"/>
      <c r="D302" s="216"/>
      <c r="E302" s="216" t="s">
        <v>844</v>
      </c>
      <c r="F302" s="226" t="s">
        <v>845</v>
      </c>
      <c r="G302" s="227"/>
      <c r="H302" s="227"/>
      <c r="I302" s="216"/>
      <c r="J302" s="225">
        <v>1200</v>
      </c>
      <c r="K302" s="228">
        <v>4.2303240740740738E-2</v>
      </c>
      <c r="L302" s="225" t="s">
        <v>459</v>
      </c>
      <c r="M302" s="219"/>
      <c r="N302" s="219"/>
      <c r="O302" s="216"/>
      <c r="P302" s="216"/>
      <c r="Q302" s="216"/>
      <c r="R302" s="220"/>
      <c r="S302" s="220"/>
      <c r="T302" s="220"/>
      <c r="U302" s="230"/>
      <c r="V302" s="231"/>
      <c r="W302" s="232"/>
      <c r="X302" s="233"/>
      <c r="Y302" s="219"/>
      <c r="Z302" s="219"/>
    </row>
    <row r="303" spans="1:26" ht="15.75" thickBot="1">
      <c r="A303" s="225">
        <v>150</v>
      </c>
      <c r="B303" s="216"/>
      <c r="C303" s="216"/>
      <c r="D303" s="216"/>
      <c r="E303" s="216" t="s">
        <v>846</v>
      </c>
      <c r="F303" s="226" t="s">
        <v>847</v>
      </c>
      <c r="G303" s="227"/>
      <c r="H303" s="227"/>
      <c r="I303" s="216"/>
      <c r="J303" s="225">
        <v>1300</v>
      </c>
      <c r="K303" s="228">
        <v>4.2129629629629628E-2</v>
      </c>
      <c r="L303" s="225" t="s">
        <v>459</v>
      </c>
      <c r="M303" s="219"/>
      <c r="N303" s="219"/>
      <c r="O303" s="216"/>
      <c r="P303" s="216"/>
      <c r="Q303" s="216"/>
      <c r="R303" s="220"/>
      <c r="S303" s="220"/>
      <c r="T303" s="220"/>
      <c r="U303" s="230"/>
      <c r="V303" s="231"/>
      <c r="W303" s="232"/>
      <c r="X303" s="233"/>
      <c r="Y303" s="219"/>
      <c r="Z303" s="219"/>
    </row>
    <row r="304" spans="1:26" ht="15.75" thickBot="1">
      <c r="A304" s="225">
        <v>151</v>
      </c>
      <c r="B304" s="216"/>
      <c r="C304" s="216"/>
      <c r="D304" s="216"/>
      <c r="E304" s="216" t="s">
        <v>850</v>
      </c>
      <c r="F304" s="226" t="s">
        <v>851</v>
      </c>
      <c r="G304" s="227"/>
      <c r="H304" s="227"/>
      <c r="I304" s="216"/>
      <c r="J304" s="225">
        <v>1000</v>
      </c>
      <c r="K304" s="228">
        <v>3.3020833333333333E-2</v>
      </c>
      <c r="L304" s="225" t="s">
        <v>459</v>
      </c>
      <c r="M304" s="219"/>
      <c r="N304" s="219"/>
      <c r="O304" s="216"/>
      <c r="P304" s="216"/>
      <c r="Q304" s="216"/>
      <c r="R304" s="220"/>
      <c r="S304" s="220"/>
      <c r="T304" s="220"/>
      <c r="U304" s="230"/>
      <c r="V304" s="231"/>
      <c r="W304" s="232"/>
      <c r="X304" s="233"/>
      <c r="Y304" s="219"/>
      <c r="Z304" s="219"/>
    </row>
    <row r="305" spans="1:26" ht="15.75" thickBot="1">
      <c r="A305" s="225">
        <v>152</v>
      </c>
      <c r="B305" s="216"/>
      <c r="C305" s="216"/>
      <c r="D305" s="216"/>
      <c r="E305" s="216" t="s">
        <v>852</v>
      </c>
      <c r="F305" s="226" t="s">
        <v>854</v>
      </c>
      <c r="G305" s="227"/>
      <c r="H305" s="227"/>
      <c r="I305" s="216"/>
      <c r="J305" s="225">
        <v>503</v>
      </c>
      <c r="K305" s="228">
        <v>7.8287037037037044E-2</v>
      </c>
      <c r="L305" s="225" t="s">
        <v>459</v>
      </c>
      <c r="M305" s="219"/>
      <c r="N305" s="219"/>
      <c r="O305" s="216"/>
      <c r="P305" s="216"/>
      <c r="Q305" s="216"/>
      <c r="R305" s="220"/>
      <c r="S305" s="220"/>
      <c r="T305" s="220"/>
      <c r="U305" s="230"/>
      <c r="V305" s="231"/>
      <c r="W305" s="232"/>
      <c r="X305" s="233"/>
      <c r="Y305" s="219"/>
      <c r="Z305" s="219"/>
    </row>
    <row r="306" spans="1:26" ht="15.75" thickBot="1">
      <c r="A306" s="225">
        <v>153</v>
      </c>
      <c r="B306" s="216"/>
      <c r="C306" s="216"/>
      <c r="D306" s="216"/>
      <c r="E306" s="216" t="s">
        <v>855</v>
      </c>
      <c r="F306" s="226" t="s">
        <v>856</v>
      </c>
      <c r="G306" s="227"/>
      <c r="H306" s="227"/>
      <c r="I306" s="216"/>
      <c r="J306" s="225">
        <v>545</v>
      </c>
      <c r="K306" s="228">
        <v>2.2743055555555555E-2</v>
      </c>
      <c r="L306" s="225" t="s">
        <v>459</v>
      </c>
      <c r="M306" s="219"/>
      <c r="N306" s="219"/>
      <c r="O306" s="216"/>
      <c r="P306" s="216"/>
      <c r="Q306" s="216"/>
      <c r="R306" s="220"/>
      <c r="S306" s="220"/>
      <c r="T306" s="220"/>
      <c r="U306" s="230"/>
      <c r="V306" s="231"/>
      <c r="W306" s="232"/>
      <c r="X306" s="233"/>
      <c r="Y306" s="219"/>
      <c r="Z306" s="219"/>
    </row>
    <row r="307" spans="1:26" ht="15.75" thickBot="1">
      <c r="A307" s="225">
        <v>154</v>
      </c>
      <c r="B307" s="216"/>
      <c r="C307" s="216"/>
      <c r="D307" s="216"/>
      <c r="E307" s="216" t="s">
        <v>857</v>
      </c>
      <c r="F307" s="226" t="s">
        <v>858</v>
      </c>
      <c r="G307" s="227"/>
      <c r="H307" s="227"/>
      <c r="I307" s="216"/>
      <c r="J307" s="225">
        <v>1000</v>
      </c>
      <c r="K307" s="228">
        <v>4.6261574074074073E-2</v>
      </c>
      <c r="L307" s="225" t="s">
        <v>459</v>
      </c>
      <c r="M307" s="219"/>
      <c r="N307" s="219"/>
      <c r="O307" s="216"/>
      <c r="P307" s="216"/>
      <c r="Q307" s="216"/>
      <c r="R307" s="220"/>
      <c r="S307" s="220"/>
      <c r="T307" s="220"/>
      <c r="U307" s="230"/>
      <c r="V307" s="231"/>
      <c r="W307" s="232"/>
      <c r="X307" s="233"/>
      <c r="Y307" s="219"/>
      <c r="Z307" s="219"/>
    </row>
    <row r="308" spans="1:26" ht="15.75" thickBot="1">
      <c r="A308" s="225">
        <v>155</v>
      </c>
      <c r="B308" s="216"/>
      <c r="C308" s="216"/>
      <c r="D308" s="216"/>
      <c r="E308" s="216" t="s">
        <v>861</v>
      </c>
      <c r="F308" s="226" t="s">
        <v>862</v>
      </c>
      <c r="G308" s="227"/>
      <c r="H308" s="227"/>
      <c r="I308" s="216"/>
      <c r="J308" s="225">
        <v>453</v>
      </c>
      <c r="K308" s="228">
        <v>4.9189814814814816E-3</v>
      </c>
      <c r="L308" s="225" t="s">
        <v>459</v>
      </c>
      <c r="M308" s="219"/>
      <c r="N308" s="219"/>
      <c r="O308" s="216"/>
      <c r="P308" s="216"/>
      <c r="Q308" s="216"/>
      <c r="R308" s="220"/>
      <c r="S308" s="220"/>
      <c r="T308" s="220"/>
      <c r="U308" s="230"/>
      <c r="V308" s="231"/>
      <c r="W308" s="232"/>
      <c r="X308" s="233"/>
      <c r="Y308" s="219"/>
      <c r="Z308" s="219"/>
    </row>
    <row r="309" spans="1:26" ht="15.75" thickBot="1">
      <c r="A309" s="225">
        <v>156</v>
      </c>
      <c r="B309" s="216"/>
      <c r="C309" s="216"/>
      <c r="D309" s="216"/>
      <c r="E309" s="216" t="s">
        <v>865</v>
      </c>
      <c r="F309" s="226" t="s">
        <v>866</v>
      </c>
      <c r="G309" s="227"/>
      <c r="H309" s="227"/>
      <c r="I309" s="216"/>
      <c r="J309" s="225">
        <v>446</v>
      </c>
      <c r="K309" s="228">
        <v>2.2916666666666667E-3</v>
      </c>
      <c r="L309" s="225" t="s">
        <v>459</v>
      </c>
      <c r="M309" s="219"/>
      <c r="N309" s="219"/>
      <c r="O309" s="216"/>
      <c r="P309" s="216"/>
      <c r="Q309" s="216"/>
      <c r="R309" s="220"/>
      <c r="S309" s="220"/>
      <c r="T309" s="220"/>
      <c r="U309" s="230"/>
      <c r="V309" s="231"/>
      <c r="W309" s="232"/>
      <c r="X309" s="233"/>
      <c r="Y309" s="219"/>
      <c r="Z309" s="219"/>
    </row>
    <row r="310" spans="1:26" ht="15.75" thickBot="1">
      <c r="A310" s="225">
        <v>157</v>
      </c>
      <c r="B310" s="216"/>
      <c r="C310" s="216"/>
      <c r="D310" s="216"/>
      <c r="E310" s="216" t="s">
        <v>867</v>
      </c>
      <c r="F310" s="226" t="s">
        <v>868</v>
      </c>
      <c r="G310" s="227"/>
      <c r="H310" s="227"/>
      <c r="I310" s="216"/>
      <c r="J310" s="225">
        <v>576</v>
      </c>
      <c r="K310" s="228">
        <v>1.736111111111111E-3</v>
      </c>
      <c r="L310" s="225" t="s">
        <v>459</v>
      </c>
      <c r="M310" s="219"/>
      <c r="N310" s="219"/>
      <c r="O310" s="216"/>
      <c r="P310" s="216"/>
      <c r="Q310" s="216"/>
      <c r="R310" s="220"/>
      <c r="S310" s="220"/>
      <c r="T310" s="220"/>
      <c r="U310" s="230"/>
      <c r="V310" s="231"/>
      <c r="W310" s="232"/>
      <c r="X310" s="233"/>
      <c r="Y310" s="219"/>
      <c r="Z310" s="219"/>
    </row>
    <row r="311" spans="1:26" ht="15.75" thickBot="1">
      <c r="A311" s="225">
        <v>158</v>
      </c>
      <c r="B311" s="216"/>
      <c r="C311" s="216"/>
      <c r="D311" s="216"/>
      <c r="E311" s="216" t="s">
        <v>869</v>
      </c>
      <c r="F311" s="226" t="s">
        <v>870</v>
      </c>
      <c r="G311" s="227"/>
      <c r="H311" s="227"/>
      <c r="I311" s="216"/>
      <c r="J311" s="225">
        <v>435</v>
      </c>
      <c r="K311" s="228">
        <v>2.3842592592592591E-3</v>
      </c>
      <c r="L311" s="225" t="s">
        <v>459</v>
      </c>
      <c r="M311" s="219"/>
      <c r="N311" s="219"/>
      <c r="O311" s="216"/>
      <c r="P311" s="216"/>
      <c r="Q311" s="216"/>
      <c r="R311" s="220"/>
      <c r="S311" s="220"/>
      <c r="T311" s="220"/>
      <c r="U311" s="230"/>
      <c r="V311" s="231"/>
      <c r="W311" s="232"/>
      <c r="X311" s="233"/>
      <c r="Y311" s="219"/>
      <c r="Z311" s="219"/>
    </row>
    <row r="312" spans="1:26" ht="15.75" thickBot="1">
      <c r="A312" s="225">
        <v>159</v>
      </c>
      <c r="B312" s="216"/>
      <c r="C312" s="216"/>
      <c r="D312" s="216"/>
      <c r="E312" s="216" t="s">
        <v>872</v>
      </c>
      <c r="F312" s="226" t="s">
        <v>873</v>
      </c>
      <c r="G312" s="227"/>
      <c r="H312" s="227"/>
      <c r="I312" s="216"/>
      <c r="J312" s="225">
        <v>1100</v>
      </c>
      <c r="K312" s="228">
        <v>1.1689814814814816E-3</v>
      </c>
      <c r="L312" s="225" t="s">
        <v>459</v>
      </c>
      <c r="M312" s="219"/>
      <c r="N312" s="219"/>
      <c r="O312" s="216"/>
      <c r="P312" s="216"/>
      <c r="Q312" s="216"/>
      <c r="R312" s="220"/>
      <c r="S312" s="220"/>
      <c r="T312" s="220"/>
      <c r="U312" s="230"/>
      <c r="V312" s="231"/>
      <c r="W312" s="232"/>
      <c r="X312" s="233"/>
      <c r="Y312" s="219"/>
      <c r="Z312" s="219"/>
    </row>
    <row r="313" spans="1:26" ht="15.75" thickBot="1">
      <c r="A313" s="225">
        <v>160</v>
      </c>
      <c r="B313" s="216"/>
      <c r="C313" s="216"/>
      <c r="D313" s="216"/>
      <c r="E313" s="216" t="s">
        <v>876</v>
      </c>
      <c r="F313" s="226" t="s">
        <v>877</v>
      </c>
      <c r="G313" s="227"/>
      <c r="H313" s="227"/>
      <c r="I313" s="216"/>
      <c r="J313" s="225">
        <v>202</v>
      </c>
      <c r="K313" s="228">
        <v>2.1180555555555553E-3</v>
      </c>
      <c r="L313" s="225" t="s">
        <v>459</v>
      </c>
      <c r="M313" s="219"/>
      <c r="N313" s="219"/>
      <c r="O313" s="216"/>
      <c r="P313" s="216"/>
      <c r="Q313" s="216"/>
      <c r="R313" s="220"/>
      <c r="S313" s="220"/>
      <c r="T313" s="220"/>
      <c r="U313" s="230"/>
      <c r="V313" s="231"/>
      <c r="W313" s="232"/>
      <c r="X313" s="233"/>
      <c r="Y313" s="219"/>
      <c r="Z313" s="219"/>
    </row>
    <row r="314" spans="1:26" ht="15.75" thickBot="1">
      <c r="A314" s="225">
        <v>161</v>
      </c>
      <c r="B314" s="216"/>
      <c r="C314" s="216"/>
      <c r="D314" s="216"/>
      <c r="E314" s="216" t="s">
        <v>879</v>
      </c>
      <c r="F314" s="226" t="s">
        <v>880</v>
      </c>
      <c r="G314" s="227"/>
      <c r="H314" s="227"/>
      <c r="I314" s="216"/>
      <c r="J314" s="225">
        <v>234</v>
      </c>
      <c r="K314" s="228">
        <v>1.4583333333333334E-3</v>
      </c>
      <c r="L314" s="225" t="s">
        <v>459</v>
      </c>
      <c r="M314" s="219"/>
      <c r="N314" s="219"/>
      <c r="O314" s="216"/>
      <c r="P314" s="216"/>
      <c r="Q314" s="216"/>
      <c r="R314" s="220"/>
      <c r="S314" s="220"/>
      <c r="T314" s="220"/>
      <c r="U314" s="230"/>
      <c r="V314" s="231"/>
      <c r="W314" s="232"/>
      <c r="X314" s="233"/>
      <c r="Y314" s="219"/>
      <c r="Z314" s="219"/>
    </row>
    <row r="315" spans="1:26" ht="15.75" thickBot="1">
      <c r="A315" s="225">
        <v>162</v>
      </c>
      <c r="B315" s="216"/>
      <c r="C315" s="216"/>
      <c r="D315" s="216"/>
      <c r="E315" s="216" t="s">
        <v>883</v>
      </c>
      <c r="F315" s="226" t="s">
        <v>884</v>
      </c>
      <c r="G315" s="227"/>
      <c r="H315" s="227"/>
      <c r="I315" s="216"/>
      <c r="J315" s="225">
        <v>497</v>
      </c>
      <c r="K315" s="228">
        <v>1.4699074074074074E-3</v>
      </c>
      <c r="L315" s="225" t="s">
        <v>459</v>
      </c>
      <c r="M315" s="219"/>
      <c r="N315" s="219"/>
      <c r="O315" s="216"/>
      <c r="P315" s="216"/>
      <c r="Q315" s="216"/>
      <c r="R315" s="220"/>
      <c r="S315" s="220"/>
      <c r="T315" s="220"/>
      <c r="U315" s="230"/>
      <c r="V315" s="231"/>
      <c r="W315" s="232"/>
      <c r="X315" s="233"/>
      <c r="Y315" s="219"/>
      <c r="Z315" s="219"/>
    </row>
    <row r="316" spans="1:26" ht="15.75" thickBot="1">
      <c r="A316" s="225">
        <v>163</v>
      </c>
      <c r="B316" s="216"/>
      <c r="C316" s="216"/>
      <c r="D316" s="216"/>
      <c r="E316" s="216" t="s">
        <v>885</v>
      </c>
      <c r="F316" s="226" t="s">
        <v>886</v>
      </c>
      <c r="G316" s="227"/>
      <c r="H316" s="227"/>
      <c r="I316" s="216"/>
      <c r="J316" s="225">
        <v>315</v>
      </c>
      <c r="K316" s="228">
        <v>5.6944444444444438E-3</v>
      </c>
      <c r="L316" s="225" t="s">
        <v>459</v>
      </c>
      <c r="M316" s="219"/>
      <c r="N316" s="219"/>
      <c r="O316" s="216"/>
      <c r="P316" s="216"/>
      <c r="Q316" s="216"/>
      <c r="R316" s="220"/>
      <c r="S316" s="220"/>
      <c r="T316" s="220"/>
      <c r="U316" s="230"/>
      <c r="V316" s="231"/>
      <c r="W316" s="232"/>
      <c r="X316" s="233"/>
      <c r="Y316" s="219"/>
      <c r="Z316" s="219"/>
    </row>
    <row r="317" spans="1:26" ht="15.75" thickBot="1">
      <c r="A317" s="225">
        <v>164</v>
      </c>
      <c r="B317" s="216"/>
      <c r="C317" s="216"/>
      <c r="D317" s="216"/>
      <c r="E317" s="216" t="s">
        <v>888</v>
      </c>
      <c r="F317" s="226" t="s">
        <v>889</v>
      </c>
      <c r="G317" s="227"/>
      <c r="H317" s="227"/>
      <c r="I317" s="216"/>
      <c r="J317" s="225">
        <v>535</v>
      </c>
      <c r="K317" s="228">
        <v>2.1527777777777778E-3</v>
      </c>
      <c r="L317" s="225" t="s">
        <v>459</v>
      </c>
      <c r="M317" s="219"/>
      <c r="N317" s="219"/>
      <c r="O317" s="216"/>
      <c r="P317" s="216"/>
      <c r="Q317" s="216"/>
      <c r="R317" s="220"/>
      <c r="S317" s="220"/>
      <c r="T317" s="220"/>
      <c r="U317" s="230"/>
      <c r="V317" s="231"/>
      <c r="W317" s="232"/>
      <c r="X317" s="233"/>
      <c r="Y317" s="219"/>
      <c r="Z317" s="219"/>
    </row>
    <row r="318" spans="1:26" ht="15.75" thickBot="1">
      <c r="A318" s="225">
        <v>165</v>
      </c>
      <c r="B318" s="216"/>
      <c r="C318" s="216"/>
      <c r="D318" s="216"/>
      <c r="E318" s="216" t="s">
        <v>890</v>
      </c>
      <c r="F318" s="226" t="s">
        <v>891</v>
      </c>
      <c r="G318" s="227"/>
      <c r="H318" s="227"/>
      <c r="I318" s="216"/>
      <c r="J318" s="225">
        <v>2700</v>
      </c>
      <c r="K318" s="228">
        <v>1.0115740740740741E-2</v>
      </c>
      <c r="L318" s="225" t="s">
        <v>459</v>
      </c>
      <c r="M318" s="219"/>
      <c r="N318" s="219"/>
      <c r="O318" s="216"/>
      <c r="P318" s="216"/>
      <c r="Q318" s="216"/>
      <c r="R318" s="220"/>
      <c r="S318" s="220"/>
      <c r="T318" s="220"/>
      <c r="U318" s="230"/>
      <c r="V318" s="231"/>
      <c r="W318" s="232"/>
      <c r="X318" s="233"/>
      <c r="Y318" s="219"/>
      <c r="Z318" s="219"/>
    </row>
    <row r="319" spans="1:26" ht="15.75" thickBot="1">
      <c r="A319" s="225">
        <v>166</v>
      </c>
      <c r="B319" s="216"/>
      <c r="C319" s="216"/>
      <c r="D319" s="216"/>
      <c r="E319" s="216" t="s">
        <v>892</v>
      </c>
      <c r="F319" s="226" t="s">
        <v>893</v>
      </c>
      <c r="G319" s="227"/>
      <c r="H319" s="227"/>
      <c r="I319" s="216"/>
      <c r="J319" s="225">
        <v>4700</v>
      </c>
      <c r="K319" s="228">
        <v>7.5601851851851851E-2</v>
      </c>
      <c r="L319" s="225" t="s">
        <v>459</v>
      </c>
      <c r="M319" s="219"/>
      <c r="N319" s="219"/>
      <c r="O319" s="216"/>
      <c r="P319" s="216"/>
      <c r="Q319" s="216"/>
      <c r="R319" s="220"/>
      <c r="S319" s="220"/>
      <c r="T319" s="220"/>
      <c r="U319" s="230"/>
      <c r="V319" s="231"/>
      <c r="W319" s="232"/>
      <c r="X319" s="233"/>
      <c r="Y319" s="219"/>
      <c r="Z319" s="219"/>
    </row>
    <row r="320" spans="1:26" ht="15.75" thickBot="1">
      <c r="A320" s="225">
        <v>167</v>
      </c>
      <c r="B320" s="216"/>
      <c r="C320" s="216"/>
      <c r="D320" s="216"/>
      <c r="E320" s="216" t="s">
        <v>894</v>
      </c>
      <c r="F320" s="226" t="s">
        <v>895</v>
      </c>
      <c r="G320" s="227"/>
      <c r="H320" s="227"/>
      <c r="I320" s="216"/>
      <c r="J320" s="225">
        <v>7500</v>
      </c>
      <c r="K320" s="228">
        <v>9.3368055555555551E-2</v>
      </c>
      <c r="L320" s="225" t="s">
        <v>459</v>
      </c>
      <c r="M320" s="219"/>
      <c r="N320" s="219"/>
      <c r="O320" s="216"/>
      <c r="P320" s="216"/>
      <c r="Q320" s="216"/>
      <c r="R320" s="220"/>
      <c r="S320" s="220"/>
      <c r="T320" s="220"/>
      <c r="U320" s="230"/>
      <c r="V320" s="231"/>
      <c r="W320" s="232"/>
      <c r="X320" s="233"/>
      <c r="Y320" s="219"/>
      <c r="Z320" s="219"/>
    </row>
    <row r="321" spans="1:26" ht="15.75" thickBot="1">
      <c r="A321" s="225">
        <v>168</v>
      </c>
      <c r="B321" s="216"/>
      <c r="C321" s="216"/>
      <c r="D321" s="216"/>
      <c r="E321" s="216" t="s">
        <v>896</v>
      </c>
      <c r="F321" s="226" t="s">
        <v>897</v>
      </c>
      <c r="G321" s="227"/>
      <c r="H321" s="227"/>
      <c r="I321" s="216"/>
      <c r="J321" s="225">
        <v>1800</v>
      </c>
      <c r="K321" s="228">
        <v>5.2962962962962962E-2</v>
      </c>
      <c r="L321" s="225" t="s">
        <v>459</v>
      </c>
      <c r="M321" s="219"/>
      <c r="N321" s="219"/>
      <c r="O321" s="216"/>
      <c r="P321" s="216"/>
      <c r="Q321" s="216"/>
      <c r="R321" s="220"/>
      <c r="S321" s="220"/>
      <c r="T321" s="220"/>
      <c r="U321" s="230"/>
      <c r="V321" s="231"/>
      <c r="W321" s="232"/>
      <c r="X321" s="233"/>
      <c r="Y321" s="219"/>
      <c r="Z321" s="219"/>
    </row>
    <row r="322" spans="1:26" ht="15.75" thickBot="1">
      <c r="A322" s="225">
        <v>169</v>
      </c>
      <c r="B322" s="216"/>
      <c r="C322" s="216"/>
      <c r="D322" s="216"/>
      <c r="E322" s="216" t="s">
        <v>898</v>
      </c>
      <c r="F322" s="226" t="s">
        <v>899</v>
      </c>
      <c r="G322" s="227"/>
      <c r="H322" s="227"/>
      <c r="I322" s="216"/>
      <c r="J322" s="225">
        <v>343</v>
      </c>
      <c r="K322" s="228">
        <v>2.8240740740740739E-3</v>
      </c>
      <c r="L322" s="225" t="s">
        <v>459</v>
      </c>
      <c r="M322" s="219"/>
      <c r="N322" s="219"/>
      <c r="O322" s="216"/>
      <c r="P322" s="216"/>
      <c r="Q322" s="216"/>
      <c r="R322" s="220"/>
      <c r="S322" s="220"/>
      <c r="T322" s="220"/>
      <c r="U322" s="230"/>
      <c r="V322" s="231"/>
      <c r="W322" s="232"/>
      <c r="X322" s="233"/>
      <c r="Y322" s="219"/>
      <c r="Z322" s="219"/>
    </row>
    <row r="323" spans="1:26" ht="15.75" thickBot="1">
      <c r="A323" s="225">
        <v>170</v>
      </c>
      <c r="B323" s="216"/>
      <c r="C323" s="216"/>
      <c r="D323" s="216"/>
      <c r="E323" s="216" t="s">
        <v>900</v>
      </c>
      <c r="F323" s="226" t="s">
        <v>901</v>
      </c>
      <c r="G323" s="227"/>
      <c r="H323" s="227"/>
      <c r="I323" s="216"/>
      <c r="J323" s="225">
        <v>1500</v>
      </c>
      <c r="K323" s="228">
        <v>5.9594907407407409E-2</v>
      </c>
      <c r="L323" s="225" t="s">
        <v>459</v>
      </c>
      <c r="M323" s="219"/>
      <c r="N323" s="219"/>
      <c r="O323" s="216"/>
      <c r="P323" s="216"/>
      <c r="Q323" s="216"/>
      <c r="R323" s="220"/>
      <c r="S323" s="220"/>
      <c r="T323" s="220"/>
      <c r="U323" s="230"/>
      <c r="V323" s="231"/>
      <c r="W323" s="232"/>
      <c r="X323" s="233"/>
      <c r="Y323" s="219"/>
      <c r="Z323" s="219"/>
    </row>
    <row r="324" spans="1:26" ht="15.75" thickBot="1">
      <c r="A324" s="225">
        <v>171</v>
      </c>
      <c r="B324" s="216"/>
      <c r="C324" s="216"/>
      <c r="D324" s="216"/>
      <c r="E324" s="216" t="s">
        <v>902</v>
      </c>
      <c r="F324" s="226" t="s">
        <v>903</v>
      </c>
      <c r="G324" s="227"/>
      <c r="H324" s="227"/>
      <c r="I324" s="216"/>
      <c r="J324" s="225">
        <v>463</v>
      </c>
      <c r="K324" s="228">
        <v>2.4965277777777781E-2</v>
      </c>
      <c r="L324" s="225" t="s">
        <v>459</v>
      </c>
      <c r="M324" s="219"/>
      <c r="N324" s="219"/>
      <c r="O324" s="216"/>
      <c r="P324" s="216"/>
      <c r="Q324" s="216"/>
      <c r="R324" s="220"/>
      <c r="S324" s="220"/>
      <c r="T324" s="220"/>
      <c r="U324" s="230"/>
      <c r="V324" s="231"/>
      <c r="W324" s="232"/>
      <c r="X324" s="233"/>
      <c r="Y324" s="219"/>
      <c r="Z324" s="219"/>
    </row>
    <row r="325" spans="1:26" ht="15.75" thickBot="1">
      <c r="A325" s="225">
        <v>172</v>
      </c>
      <c r="B325" s="216"/>
      <c r="C325" s="216"/>
      <c r="D325" s="216"/>
      <c r="E325" s="216" t="s">
        <v>905</v>
      </c>
      <c r="F325" s="226" t="s">
        <v>906</v>
      </c>
      <c r="G325" s="227"/>
      <c r="H325" s="227"/>
      <c r="I325" s="216"/>
      <c r="J325" s="225">
        <v>5200</v>
      </c>
      <c r="K325" s="228">
        <v>5.5775462962962964E-2</v>
      </c>
      <c r="L325" s="225" t="s">
        <v>459</v>
      </c>
      <c r="M325" s="219"/>
      <c r="N325" s="219"/>
      <c r="O325" s="216"/>
      <c r="P325" s="216"/>
      <c r="Q325" s="216"/>
      <c r="R325" s="220"/>
      <c r="S325" s="220"/>
      <c r="T325" s="220"/>
      <c r="U325" s="230"/>
      <c r="V325" s="231"/>
      <c r="W325" s="232"/>
      <c r="X325" s="233"/>
      <c r="Y325" s="219"/>
      <c r="Z325" s="219"/>
    </row>
    <row r="326" spans="1:26" ht="15.75" thickBot="1">
      <c r="A326" s="225">
        <v>173</v>
      </c>
      <c r="B326" s="216"/>
      <c r="C326" s="216"/>
      <c r="D326" s="216"/>
      <c r="E326" s="216" t="s">
        <v>907</v>
      </c>
      <c r="F326" s="226" t="s">
        <v>908</v>
      </c>
      <c r="G326" s="227"/>
      <c r="H326" s="227"/>
      <c r="I326" s="216"/>
      <c r="J326" s="225">
        <v>624</v>
      </c>
      <c r="K326" s="228">
        <v>2.5868055555555557E-2</v>
      </c>
      <c r="L326" s="225" t="s">
        <v>459</v>
      </c>
      <c r="M326" s="219"/>
      <c r="N326" s="219"/>
      <c r="O326" s="216"/>
      <c r="P326" s="216"/>
      <c r="Q326" s="216"/>
      <c r="R326" s="220"/>
      <c r="S326" s="220"/>
      <c r="T326" s="220"/>
      <c r="U326" s="230"/>
      <c r="V326" s="231"/>
      <c r="W326" s="232"/>
      <c r="X326" s="233"/>
      <c r="Y326" s="219"/>
      <c r="Z326" s="219"/>
    </row>
    <row r="327" spans="1:26" ht="15.75" thickBot="1">
      <c r="A327" s="225">
        <v>174</v>
      </c>
      <c r="B327" s="216"/>
      <c r="C327" s="216"/>
      <c r="D327" s="216"/>
      <c r="E327" s="216" t="s">
        <v>909</v>
      </c>
      <c r="F327" s="226" t="s">
        <v>910</v>
      </c>
      <c r="G327" s="227"/>
      <c r="H327" s="227"/>
      <c r="I327" s="216"/>
      <c r="J327" s="225">
        <v>1400</v>
      </c>
      <c r="K327" s="228">
        <v>1.7754629629629631E-2</v>
      </c>
      <c r="L327" s="225" t="s">
        <v>459</v>
      </c>
      <c r="M327" s="219"/>
      <c r="N327" s="219"/>
      <c r="O327" s="216"/>
      <c r="P327" s="216"/>
      <c r="Q327" s="216"/>
      <c r="R327" s="220"/>
      <c r="S327" s="220"/>
      <c r="T327" s="220"/>
      <c r="U327" s="230"/>
      <c r="V327" s="231"/>
      <c r="W327" s="232"/>
      <c r="X327" s="233"/>
      <c r="Y327" s="219"/>
      <c r="Z327" s="219"/>
    </row>
    <row r="328" spans="1:26" ht="15.75" thickBot="1">
      <c r="A328" s="225">
        <v>175</v>
      </c>
      <c r="B328" s="216"/>
      <c r="C328" s="216"/>
      <c r="D328" s="216"/>
      <c r="E328" s="216" t="s">
        <v>911</v>
      </c>
      <c r="F328" s="226" t="s">
        <v>912</v>
      </c>
      <c r="G328" s="227"/>
      <c r="H328" s="227"/>
      <c r="I328" s="216"/>
      <c r="J328" s="225">
        <v>3100</v>
      </c>
      <c r="K328" s="228">
        <v>8.3472222222222225E-2</v>
      </c>
      <c r="L328" s="225" t="s">
        <v>459</v>
      </c>
      <c r="M328" s="219"/>
      <c r="N328" s="219"/>
      <c r="O328" s="216"/>
      <c r="P328" s="216"/>
      <c r="Q328" s="216"/>
      <c r="R328" s="220"/>
      <c r="S328" s="220"/>
      <c r="T328" s="220"/>
      <c r="U328" s="230"/>
      <c r="V328" s="231"/>
      <c r="W328" s="232"/>
      <c r="X328" s="233"/>
      <c r="Y328" s="219"/>
      <c r="Z328" s="219"/>
    </row>
    <row r="329" spans="1:26" ht="15.75" thickBot="1">
      <c r="A329" s="225">
        <v>176</v>
      </c>
      <c r="B329" s="216"/>
      <c r="C329" s="216"/>
      <c r="D329" s="216"/>
      <c r="E329" s="216" t="s">
        <v>913</v>
      </c>
      <c r="F329" s="226" t="s">
        <v>914</v>
      </c>
      <c r="G329" s="227"/>
      <c r="H329" s="227"/>
      <c r="I329" s="216"/>
      <c r="J329" s="225">
        <v>2000</v>
      </c>
      <c r="K329" s="228">
        <v>6.1168981481481477E-2</v>
      </c>
      <c r="L329" s="225" t="s">
        <v>459</v>
      </c>
      <c r="M329" s="219"/>
      <c r="N329" s="219"/>
      <c r="O329" s="216"/>
      <c r="P329" s="216"/>
      <c r="Q329" s="216"/>
      <c r="R329" s="220"/>
      <c r="S329" s="220"/>
      <c r="T329" s="220"/>
      <c r="U329" s="230"/>
      <c r="V329" s="231"/>
      <c r="W329" s="232"/>
      <c r="X329" s="233"/>
      <c r="Y329" s="219"/>
      <c r="Z329" s="219"/>
    </row>
    <row r="330" spans="1:26" ht="15.75" thickBot="1">
      <c r="A330" s="225">
        <v>177</v>
      </c>
      <c r="B330" s="216"/>
      <c r="C330" s="216"/>
      <c r="D330" s="216"/>
      <c r="E330" s="216" t="s">
        <v>915</v>
      </c>
      <c r="F330" s="226" t="s">
        <v>916</v>
      </c>
      <c r="G330" s="227"/>
      <c r="H330" s="227"/>
      <c r="I330" s="216"/>
      <c r="J330" s="225">
        <v>7300</v>
      </c>
      <c r="K330" s="228">
        <v>3.1041666666666665E-2</v>
      </c>
      <c r="L330" s="225" t="s">
        <v>710</v>
      </c>
      <c r="M330" s="219"/>
      <c r="N330" s="219"/>
      <c r="O330" s="216"/>
      <c r="P330" s="216"/>
      <c r="Q330" s="216"/>
      <c r="R330" s="220"/>
      <c r="S330" s="220"/>
      <c r="T330" s="220"/>
      <c r="U330" s="230"/>
      <c r="V330" s="231"/>
      <c r="W330" s="232"/>
      <c r="X330" s="233"/>
      <c r="Y330" s="219"/>
      <c r="Z330" s="219"/>
    </row>
    <row r="331" spans="1:26" ht="15.75" thickBot="1">
      <c r="A331" s="225">
        <v>179</v>
      </c>
      <c r="B331" s="216"/>
      <c r="C331" s="216"/>
      <c r="D331" s="216"/>
      <c r="E331" s="216" t="s">
        <v>919</v>
      </c>
      <c r="F331" s="226" t="s">
        <v>920</v>
      </c>
      <c r="G331" s="227"/>
      <c r="H331" s="227"/>
      <c r="I331" s="216"/>
      <c r="J331" s="225">
        <v>1200</v>
      </c>
      <c r="K331" s="228">
        <v>1.638888888888889E-2</v>
      </c>
      <c r="L331" s="225" t="s">
        <v>710</v>
      </c>
      <c r="M331" s="219"/>
      <c r="N331" s="219"/>
      <c r="O331" s="216"/>
      <c r="P331" s="216"/>
      <c r="Q331" s="216"/>
      <c r="R331" s="220"/>
      <c r="S331" s="220"/>
      <c r="T331" s="220"/>
      <c r="U331" s="230"/>
      <c r="V331" s="231"/>
      <c r="W331" s="232"/>
      <c r="X331" s="233"/>
      <c r="Y331" s="219"/>
      <c r="Z331" s="219"/>
    </row>
    <row r="332" spans="1:26" ht="15.75" thickBot="1">
      <c r="A332" s="225">
        <v>178</v>
      </c>
      <c r="B332" s="220" t="s">
        <v>97</v>
      </c>
      <c r="C332" s="230"/>
      <c r="D332" s="219" t="s">
        <v>120</v>
      </c>
      <c r="E332" s="216" t="s">
        <v>704</v>
      </c>
      <c r="F332" s="226" t="s">
        <v>705</v>
      </c>
      <c r="G332" s="227"/>
      <c r="H332" s="227"/>
      <c r="I332" s="216"/>
      <c r="J332" s="225">
        <v>2500</v>
      </c>
      <c r="K332" s="228">
        <v>4.7199074074074067E-2</v>
      </c>
      <c r="L332" s="225" t="s">
        <v>710</v>
      </c>
      <c r="M332" s="219"/>
      <c r="N332" s="219"/>
      <c r="O332" s="216"/>
      <c r="P332" s="229">
        <v>43017</v>
      </c>
      <c r="Q332" s="216"/>
      <c r="R332" s="220"/>
      <c r="S332" s="220"/>
      <c r="T332" s="220"/>
      <c r="U332" s="230"/>
      <c r="V332" s="231"/>
      <c r="W332" s="232"/>
      <c r="X332" s="233"/>
      <c r="Y332" s="219"/>
      <c r="Z332" s="219"/>
    </row>
    <row r="333" spans="1:26" ht="15.75" thickBot="1">
      <c r="A333" s="225">
        <v>178.01</v>
      </c>
      <c r="B333" s="220" t="s">
        <v>97</v>
      </c>
      <c r="C333" s="230"/>
      <c r="D333" s="219" t="s">
        <v>120</v>
      </c>
      <c r="E333" s="216"/>
      <c r="F333" s="235"/>
      <c r="G333" s="245" t="s">
        <v>713</v>
      </c>
      <c r="H333" s="227"/>
      <c r="I333" s="216"/>
      <c r="J333" s="216"/>
      <c r="K333" s="219"/>
      <c r="L333" s="225"/>
      <c r="M333" s="219"/>
      <c r="N333" s="219"/>
      <c r="O333" s="216"/>
      <c r="P333" s="229">
        <v>43017</v>
      </c>
      <c r="Q333" s="226" t="s">
        <v>2367</v>
      </c>
      <c r="R333" s="220"/>
      <c r="S333" s="220"/>
      <c r="T333" s="220"/>
      <c r="U333" s="230"/>
      <c r="V333" s="231"/>
      <c r="W333" s="232"/>
      <c r="X333" s="233"/>
      <c r="Y333" s="219" t="s">
        <v>2368</v>
      </c>
      <c r="Z333" s="238" t="s">
        <v>717</v>
      </c>
    </row>
    <row r="334" spans="1:26" ht="15.75" thickBot="1">
      <c r="A334" s="225">
        <v>178.02</v>
      </c>
      <c r="B334" s="220" t="s">
        <v>97</v>
      </c>
      <c r="C334" s="230"/>
      <c r="D334" s="219" t="s">
        <v>120</v>
      </c>
      <c r="E334" s="216"/>
      <c r="F334" s="235"/>
      <c r="G334" s="227" t="s">
        <v>720</v>
      </c>
      <c r="H334" s="227" t="s">
        <v>2369</v>
      </c>
      <c r="I334" s="216"/>
      <c r="J334" s="216"/>
      <c r="K334" s="219"/>
      <c r="L334" s="225"/>
      <c r="M334" s="228">
        <v>7.1527777777777787E-3</v>
      </c>
      <c r="N334" s="228">
        <v>1.1956018518518517E-2</v>
      </c>
      <c r="O334" s="216"/>
      <c r="P334" s="229">
        <v>43017</v>
      </c>
      <c r="Q334" s="218" t="s">
        <v>2370</v>
      </c>
      <c r="R334" s="220" t="s">
        <v>94</v>
      </c>
      <c r="S334" s="220" t="s">
        <v>94</v>
      </c>
      <c r="T334" s="220" t="s">
        <v>94</v>
      </c>
      <c r="U334" s="230"/>
      <c r="V334" s="231"/>
      <c r="W334" s="232" t="s">
        <v>292</v>
      </c>
      <c r="X334" s="233"/>
      <c r="Y334" s="216"/>
      <c r="Z334" s="216"/>
    </row>
    <row r="335" spans="1:26" ht="15.75" thickBot="1">
      <c r="A335" s="225">
        <v>178.03</v>
      </c>
      <c r="B335" s="220" t="s">
        <v>97</v>
      </c>
      <c r="C335" s="230"/>
      <c r="D335" s="219" t="s">
        <v>120</v>
      </c>
      <c r="E335" s="216"/>
      <c r="F335" s="235"/>
      <c r="G335" s="227" t="s">
        <v>727</v>
      </c>
      <c r="H335" s="227" t="s">
        <v>728</v>
      </c>
      <c r="I335" s="216"/>
      <c r="J335" s="216"/>
      <c r="K335" s="219"/>
      <c r="L335" s="225"/>
      <c r="M335" s="228">
        <v>1.2060185185185186E-2</v>
      </c>
      <c r="N335" s="228">
        <v>1.2615740740740742E-2</v>
      </c>
      <c r="O335" s="216"/>
      <c r="P335" s="229">
        <v>43017</v>
      </c>
      <c r="Q335" s="218" t="s">
        <v>2371</v>
      </c>
      <c r="R335" s="220" t="s">
        <v>94</v>
      </c>
      <c r="S335" s="220" t="s">
        <v>94</v>
      </c>
      <c r="T335" s="220" t="s">
        <v>94</v>
      </c>
      <c r="U335" s="230"/>
      <c r="V335" s="231"/>
      <c r="W335" s="232" t="s">
        <v>292</v>
      </c>
      <c r="X335" s="233"/>
      <c r="Y335" s="216"/>
      <c r="Z335" s="216"/>
    </row>
    <row r="336" spans="1:26" ht="15.75" thickBot="1">
      <c r="A336" s="225">
        <v>178.04</v>
      </c>
      <c r="B336" s="220" t="s">
        <v>97</v>
      </c>
      <c r="C336" s="230"/>
      <c r="D336" s="219" t="s">
        <v>120</v>
      </c>
      <c r="E336" s="216"/>
      <c r="F336" s="235"/>
      <c r="G336" s="227" t="s">
        <v>733</v>
      </c>
      <c r="H336" s="227"/>
      <c r="I336" s="216"/>
      <c r="J336" s="216"/>
      <c r="K336" s="219"/>
      <c r="L336" s="225"/>
      <c r="M336" s="228">
        <v>1.6805555555555556E-2</v>
      </c>
      <c r="N336" s="228">
        <v>1.7893518518518517E-2</v>
      </c>
      <c r="O336" s="219"/>
      <c r="P336" s="229">
        <v>43017</v>
      </c>
      <c r="Q336" s="218" t="s">
        <v>2372</v>
      </c>
      <c r="R336" s="220" t="s">
        <v>94</v>
      </c>
      <c r="S336" s="220" t="s">
        <v>94</v>
      </c>
      <c r="T336" s="220" t="s">
        <v>94</v>
      </c>
      <c r="U336" s="230"/>
      <c r="V336" s="231"/>
      <c r="W336" s="232" t="s">
        <v>292</v>
      </c>
      <c r="X336" s="233"/>
      <c r="Y336" s="216"/>
      <c r="Z336" s="216"/>
    </row>
    <row r="337" spans="1:26" ht="15.75" thickBot="1">
      <c r="A337" s="225">
        <v>178.05</v>
      </c>
      <c r="B337" s="220" t="s">
        <v>97</v>
      </c>
      <c r="C337" s="230"/>
      <c r="D337" s="219" t="s">
        <v>120</v>
      </c>
      <c r="E337" s="216"/>
      <c r="F337" s="235"/>
      <c r="G337" s="227" t="s">
        <v>735</v>
      </c>
      <c r="H337" s="227"/>
      <c r="I337" s="216"/>
      <c r="J337" s="216"/>
      <c r="K337" s="219"/>
      <c r="L337" s="225"/>
      <c r="M337" s="228">
        <v>1.9247685185185184E-2</v>
      </c>
      <c r="N337" s="228">
        <v>2.2638888888888889E-2</v>
      </c>
      <c r="O337" s="219"/>
      <c r="P337" s="229">
        <v>43017</v>
      </c>
      <c r="Q337" s="218" t="s">
        <v>2373</v>
      </c>
      <c r="R337" s="220" t="s">
        <v>94</v>
      </c>
      <c r="S337" s="220" t="s">
        <v>94</v>
      </c>
      <c r="T337" s="220" t="s">
        <v>94</v>
      </c>
      <c r="U337" s="230"/>
      <c r="V337" s="231"/>
      <c r="W337" s="232" t="s">
        <v>292</v>
      </c>
      <c r="X337" s="233"/>
      <c r="Y337" s="216"/>
      <c r="Z337" s="216"/>
    </row>
    <row r="338" spans="1:26" ht="15.75" thickBot="1">
      <c r="A338" s="225">
        <v>178.06</v>
      </c>
      <c r="B338" s="220" t="s">
        <v>97</v>
      </c>
      <c r="C338" s="230"/>
      <c r="D338" s="219" t="s">
        <v>120</v>
      </c>
      <c r="E338" s="216"/>
      <c r="F338" s="235"/>
      <c r="G338" s="227" t="s">
        <v>738</v>
      </c>
      <c r="H338" s="227"/>
      <c r="I338" s="216"/>
      <c r="J338" s="216"/>
      <c r="K338" s="219"/>
      <c r="L338" s="225"/>
      <c r="M338" s="228">
        <v>2.2870370370370371E-2</v>
      </c>
      <c r="N338" s="228">
        <v>2.3854166666666666E-2</v>
      </c>
      <c r="O338" s="219"/>
      <c r="P338" s="229">
        <v>43017</v>
      </c>
      <c r="Q338" s="218" t="s">
        <v>2374</v>
      </c>
      <c r="R338" s="220" t="s">
        <v>94</v>
      </c>
      <c r="S338" s="220" t="s">
        <v>94</v>
      </c>
      <c r="T338" s="220" t="s">
        <v>94</v>
      </c>
      <c r="U338" s="230"/>
      <c r="V338" s="231"/>
      <c r="W338" s="232" t="s">
        <v>292</v>
      </c>
      <c r="X338" s="233"/>
      <c r="Y338" s="216"/>
      <c r="Z338" s="216"/>
    </row>
    <row r="339" spans="1:26" ht="15.75" thickBot="1">
      <c r="A339" s="225">
        <v>178.07</v>
      </c>
      <c r="B339" s="220" t="s">
        <v>97</v>
      </c>
      <c r="C339" s="230"/>
      <c r="D339" s="219" t="s">
        <v>120</v>
      </c>
      <c r="E339" s="216"/>
      <c r="F339" s="235"/>
      <c r="G339" s="227" t="s">
        <v>741</v>
      </c>
      <c r="H339" s="227"/>
      <c r="I339" s="216"/>
      <c r="J339" s="216"/>
      <c r="K339" s="219"/>
      <c r="L339" s="225"/>
      <c r="M339" s="228">
        <v>2.4074074074074071E-2</v>
      </c>
      <c r="N339" s="228">
        <v>2.5717592592592594E-2</v>
      </c>
      <c r="O339" s="219"/>
      <c r="P339" s="229">
        <v>43017</v>
      </c>
      <c r="Q339" s="218" t="s">
        <v>2375</v>
      </c>
      <c r="R339" s="220" t="s">
        <v>94</v>
      </c>
      <c r="S339" s="220" t="s">
        <v>94</v>
      </c>
      <c r="T339" s="220" t="s">
        <v>94</v>
      </c>
      <c r="U339" s="230"/>
      <c r="V339" s="231"/>
      <c r="W339" s="232" t="s">
        <v>292</v>
      </c>
      <c r="X339" s="233"/>
      <c r="Y339" s="216"/>
      <c r="Z339" s="216"/>
    </row>
    <row r="340" spans="1:26" ht="15.75" thickBot="1">
      <c r="A340" s="225">
        <v>178.08</v>
      </c>
      <c r="B340" s="220" t="s">
        <v>97</v>
      </c>
      <c r="C340" s="230"/>
      <c r="D340" s="219" t="s">
        <v>120</v>
      </c>
      <c r="E340" s="216"/>
      <c r="F340" s="216"/>
      <c r="G340" s="219" t="s">
        <v>742</v>
      </c>
      <c r="H340" s="227"/>
      <c r="I340" s="216"/>
      <c r="J340" s="216"/>
      <c r="K340" s="219"/>
      <c r="L340" s="225"/>
      <c r="M340" s="228">
        <v>4.1689814814814818E-2</v>
      </c>
      <c r="N340" s="228">
        <v>4.282407407407407E-2</v>
      </c>
      <c r="O340" s="219"/>
      <c r="P340" s="229">
        <v>43017</v>
      </c>
      <c r="Q340" s="218" t="s">
        <v>2376</v>
      </c>
      <c r="R340" s="220" t="s">
        <v>94</v>
      </c>
      <c r="S340" s="220" t="s">
        <v>94</v>
      </c>
      <c r="T340" s="220" t="s">
        <v>94</v>
      </c>
      <c r="U340" s="230"/>
      <c r="V340" s="231"/>
      <c r="W340" s="232" t="s">
        <v>292</v>
      </c>
      <c r="X340" s="233"/>
      <c r="Y340" s="216"/>
      <c r="Z340" s="216"/>
    </row>
    <row r="341" spans="1:26" ht="15.75" thickBot="1">
      <c r="A341" s="225">
        <v>178.09</v>
      </c>
      <c r="B341" s="220" t="s">
        <v>97</v>
      </c>
      <c r="C341" s="230"/>
      <c r="D341" s="219" t="s">
        <v>120</v>
      </c>
      <c r="E341" s="216"/>
      <c r="F341" s="235"/>
      <c r="G341" s="227" t="s">
        <v>743</v>
      </c>
      <c r="H341" s="227"/>
      <c r="I341" s="216"/>
      <c r="J341" s="216"/>
      <c r="K341" s="219"/>
      <c r="L341" s="225"/>
      <c r="M341" s="228">
        <v>4.2847222222222224E-2</v>
      </c>
      <c r="N341" s="228">
        <v>4.4861111111111109E-2</v>
      </c>
      <c r="O341" s="216"/>
      <c r="P341" s="229">
        <v>43017</v>
      </c>
      <c r="Q341" s="218" t="s">
        <v>2377</v>
      </c>
      <c r="R341" s="220" t="s">
        <v>94</v>
      </c>
      <c r="S341" s="220" t="s">
        <v>94</v>
      </c>
      <c r="T341" s="220" t="s">
        <v>94</v>
      </c>
      <c r="U341" s="230"/>
      <c r="V341" s="231"/>
      <c r="W341" s="232" t="s">
        <v>292</v>
      </c>
      <c r="X341" s="233"/>
      <c r="Y341" s="216"/>
      <c r="Z341" s="216"/>
    </row>
    <row r="342" spans="1:26" ht="15.75" thickBot="1">
      <c r="A342" s="225">
        <v>180</v>
      </c>
      <c r="B342" s="216"/>
      <c r="C342" s="216"/>
      <c r="D342" s="216"/>
      <c r="E342" s="216" t="s">
        <v>921</v>
      </c>
      <c r="F342" s="226" t="s">
        <v>922</v>
      </c>
      <c r="G342" s="227"/>
      <c r="H342" s="227"/>
      <c r="I342" s="216"/>
      <c r="J342" s="225">
        <v>8400</v>
      </c>
      <c r="K342" s="228">
        <v>3.2407407407407406E-3</v>
      </c>
      <c r="L342" s="225" t="s">
        <v>710</v>
      </c>
      <c r="M342" s="219"/>
      <c r="N342" s="219"/>
      <c r="O342" s="216"/>
      <c r="P342" s="216"/>
      <c r="Q342" s="216"/>
      <c r="R342" s="220"/>
      <c r="S342" s="220"/>
      <c r="T342" s="220"/>
      <c r="U342" s="230"/>
      <c r="V342" s="231"/>
      <c r="W342" s="232"/>
      <c r="X342" s="233"/>
      <c r="Y342" s="219"/>
      <c r="Z342" s="219"/>
    </row>
    <row r="343" spans="1:26" ht="15.75" thickBot="1">
      <c r="A343" s="225">
        <v>181</v>
      </c>
      <c r="B343" s="216"/>
      <c r="C343" s="216"/>
      <c r="D343" s="216"/>
      <c r="E343" s="216" t="s">
        <v>923</v>
      </c>
      <c r="F343" s="226" t="s">
        <v>924</v>
      </c>
      <c r="G343" s="227"/>
      <c r="H343" s="227"/>
      <c r="I343" s="216"/>
      <c r="J343" s="225">
        <v>12000</v>
      </c>
      <c r="K343" s="228">
        <v>4.0833333333333333E-2</v>
      </c>
      <c r="L343" s="225" t="s">
        <v>710</v>
      </c>
      <c r="M343" s="219"/>
      <c r="N343" s="219"/>
      <c r="O343" s="216"/>
      <c r="P343" s="216"/>
      <c r="Q343" s="216"/>
      <c r="R343" s="220"/>
      <c r="S343" s="220"/>
      <c r="T343" s="220"/>
      <c r="U343" s="230"/>
      <c r="V343" s="231"/>
      <c r="W343" s="232"/>
      <c r="X343" s="233"/>
      <c r="Y343" s="219"/>
      <c r="Z343" s="219"/>
    </row>
    <row r="344" spans="1:26" ht="15.75" thickBot="1">
      <c r="A344" s="225">
        <v>182</v>
      </c>
      <c r="B344" s="216"/>
      <c r="C344" s="216"/>
      <c r="D344" s="216"/>
      <c r="E344" s="216" t="s">
        <v>925</v>
      </c>
      <c r="F344" s="226" t="s">
        <v>926</v>
      </c>
      <c r="G344" s="227"/>
      <c r="H344" s="227"/>
      <c r="I344" s="216"/>
      <c r="J344" s="225">
        <v>7600</v>
      </c>
      <c r="K344" s="228">
        <v>6.6435185185185182E-3</v>
      </c>
      <c r="L344" s="225" t="s">
        <v>710</v>
      </c>
      <c r="M344" s="219"/>
      <c r="N344" s="219"/>
      <c r="O344" s="216"/>
      <c r="P344" s="216"/>
      <c r="Q344" s="216"/>
      <c r="R344" s="220"/>
      <c r="S344" s="220"/>
      <c r="T344" s="220"/>
      <c r="U344" s="230"/>
      <c r="V344" s="231"/>
      <c r="W344" s="232"/>
      <c r="X344" s="233"/>
      <c r="Y344" s="219"/>
      <c r="Z344" s="219"/>
    </row>
    <row r="345" spans="1:26" ht="15.75" thickBot="1">
      <c r="A345" s="225">
        <v>183</v>
      </c>
      <c r="B345" s="216"/>
      <c r="C345" s="216"/>
      <c r="D345" s="216"/>
      <c r="E345" s="216" t="s">
        <v>927</v>
      </c>
      <c r="F345" s="226" t="s">
        <v>928</v>
      </c>
      <c r="G345" s="227"/>
      <c r="H345" s="227"/>
      <c r="I345" s="216"/>
      <c r="J345" s="225">
        <v>55000</v>
      </c>
      <c r="K345" s="228">
        <v>1.5949074074074074E-2</v>
      </c>
      <c r="L345" s="225" t="s">
        <v>710</v>
      </c>
      <c r="M345" s="219"/>
      <c r="N345" s="219"/>
      <c r="O345" s="216"/>
      <c r="P345" s="216"/>
      <c r="Q345" s="216"/>
      <c r="R345" s="220"/>
      <c r="S345" s="220"/>
      <c r="T345" s="220"/>
      <c r="U345" s="230"/>
      <c r="V345" s="231"/>
      <c r="W345" s="232"/>
      <c r="X345" s="233"/>
      <c r="Y345" s="219"/>
      <c r="Z345" s="219"/>
    </row>
    <row r="346" spans="1:26" ht="15.75" thickBot="1">
      <c r="A346" s="225">
        <v>184</v>
      </c>
      <c r="B346" s="216"/>
      <c r="C346" s="216"/>
      <c r="D346" s="216"/>
      <c r="E346" s="216" t="s">
        <v>929</v>
      </c>
      <c r="F346" s="226" t="s">
        <v>930</v>
      </c>
      <c r="G346" s="227"/>
      <c r="H346" s="227"/>
      <c r="I346" s="216"/>
      <c r="J346" s="225">
        <v>6800</v>
      </c>
      <c r="K346" s="228">
        <v>1.2118055555555556E-2</v>
      </c>
      <c r="L346" s="225" t="s">
        <v>710</v>
      </c>
      <c r="M346" s="219"/>
      <c r="N346" s="219"/>
      <c r="O346" s="216"/>
      <c r="P346" s="216"/>
      <c r="Q346" s="216"/>
      <c r="R346" s="220"/>
      <c r="S346" s="220"/>
      <c r="T346" s="220"/>
      <c r="U346" s="230"/>
      <c r="V346" s="231"/>
      <c r="W346" s="232"/>
      <c r="X346" s="233"/>
      <c r="Y346" s="219"/>
      <c r="Z346" s="219"/>
    </row>
    <row r="347" spans="1:26" ht="15.75" thickBot="1">
      <c r="A347" s="225">
        <v>185</v>
      </c>
      <c r="B347" s="216"/>
      <c r="C347" s="216"/>
      <c r="D347" s="216"/>
      <c r="E347" s="216" t="s">
        <v>931</v>
      </c>
      <c r="F347" s="226" t="s">
        <v>932</v>
      </c>
      <c r="G347" s="227"/>
      <c r="H347" s="227"/>
      <c r="I347" s="216"/>
      <c r="J347" s="225">
        <v>4000</v>
      </c>
      <c r="K347" s="228">
        <v>8.4027777777777781E-3</v>
      </c>
      <c r="L347" s="225" t="s">
        <v>710</v>
      </c>
      <c r="M347" s="219"/>
      <c r="N347" s="219"/>
      <c r="O347" s="216"/>
      <c r="P347" s="216"/>
      <c r="Q347" s="216"/>
      <c r="R347" s="220"/>
      <c r="S347" s="220"/>
      <c r="T347" s="220"/>
      <c r="U347" s="230"/>
      <c r="V347" s="231"/>
      <c r="W347" s="232"/>
      <c r="X347" s="233"/>
      <c r="Y347" s="219"/>
      <c r="Z347" s="219"/>
    </row>
    <row r="348" spans="1:26" ht="15.75" thickBot="1">
      <c r="A348" s="225">
        <v>186</v>
      </c>
      <c r="B348" s="216"/>
      <c r="C348" s="216"/>
      <c r="D348" s="216"/>
      <c r="E348" s="216" t="s">
        <v>933</v>
      </c>
      <c r="F348" s="226" t="s">
        <v>934</v>
      </c>
      <c r="G348" s="227"/>
      <c r="H348" s="227"/>
      <c r="I348" s="216"/>
      <c r="J348" s="225">
        <v>3900</v>
      </c>
      <c r="K348" s="228">
        <v>5.1736111111111115E-3</v>
      </c>
      <c r="L348" s="225" t="s">
        <v>710</v>
      </c>
      <c r="M348" s="219"/>
      <c r="N348" s="219"/>
      <c r="O348" s="216"/>
      <c r="P348" s="216"/>
      <c r="Q348" s="216"/>
      <c r="R348" s="220"/>
      <c r="S348" s="220"/>
      <c r="T348" s="220"/>
      <c r="U348" s="230"/>
      <c r="V348" s="231"/>
      <c r="W348" s="232"/>
      <c r="X348" s="233"/>
      <c r="Y348" s="219"/>
      <c r="Z348" s="219"/>
    </row>
    <row r="349" spans="1:26" ht="15.75" thickBot="1">
      <c r="A349" s="225">
        <v>187</v>
      </c>
      <c r="B349" s="216"/>
      <c r="C349" s="216"/>
      <c r="D349" s="216"/>
      <c r="E349" s="216" t="s">
        <v>935</v>
      </c>
      <c r="F349" s="226" t="s">
        <v>936</v>
      </c>
      <c r="G349" s="227"/>
      <c r="H349" s="227"/>
      <c r="I349" s="216"/>
      <c r="J349" s="225">
        <v>3800</v>
      </c>
      <c r="K349" s="228">
        <v>5.7523148148148143E-3</v>
      </c>
      <c r="L349" s="225" t="s">
        <v>710</v>
      </c>
      <c r="M349" s="219"/>
      <c r="N349" s="219"/>
      <c r="O349" s="216"/>
      <c r="P349" s="216"/>
      <c r="Q349" s="216"/>
      <c r="R349" s="220"/>
      <c r="S349" s="220"/>
      <c r="T349" s="220"/>
      <c r="U349" s="230"/>
      <c r="V349" s="231"/>
      <c r="W349" s="232"/>
      <c r="X349" s="233"/>
      <c r="Y349" s="219"/>
      <c r="Z349" s="219"/>
    </row>
    <row r="350" spans="1:26" ht="15.75" thickBot="1">
      <c r="A350" s="225">
        <v>188</v>
      </c>
      <c r="B350" s="216"/>
      <c r="C350" s="216"/>
      <c r="D350" s="216"/>
      <c r="E350" s="216" t="s">
        <v>937</v>
      </c>
      <c r="F350" s="226" t="s">
        <v>938</v>
      </c>
      <c r="G350" s="227"/>
      <c r="H350" s="227"/>
      <c r="I350" s="216"/>
      <c r="J350" s="225">
        <v>3200</v>
      </c>
      <c r="K350" s="228">
        <v>1.5277777777777779E-3</v>
      </c>
      <c r="L350" s="225" t="s">
        <v>710</v>
      </c>
      <c r="M350" s="219"/>
      <c r="N350" s="219"/>
      <c r="O350" s="216"/>
      <c r="P350" s="216"/>
      <c r="Q350" s="216"/>
      <c r="R350" s="220"/>
      <c r="S350" s="220"/>
      <c r="T350" s="220"/>
      <c r="U350" s="230"/>
      <c r="V350" s="231"/>
      <c r="W350" s="232"/>
      <c r="X350" s="233"/>
      <c r="Y350" s="219"/>
      <c r="Z350" s="219"/>
    </row>
    <row r="351" spans="1:26" ht="15.75" thickBot="1">
      <c r="A351" s="225">
        <v>189</v>
      </c>
      <c r="B351" s="216"/>
      <c r="C351" s="216"/>
      <c r="D351" s="216"/>
      <c r="E351" s="216" t="s">
        <v>939</v>
      </c>
      <c r="F351" s="226" t="s">
        <v>940</v>
      </c>
      <c r="G351" s="227"/>
      <c r="H351" s="227"/>
      <c r="I351" s="216"/>
      <c r="J351" s="225">
        <v>4600</v>
      </c>
      <c r="K351" s="228">
        <v>1.5011574074074075E-2</v>
      </c>
      <c r="L351" s="225" t="s">
        <v>710</v>
      </c>
      <c r="M351" s="219"/>
      <c r="N351" s="219"/>
      <c r="O351" s="216"/>
      <c r="P351" s="216"/>
      <c r="Q351" s="216"/>
      <c r="R351" s="220"/>
      <c r="S351" s="220"/>
      <c r="T351" s="220"/>
      <c r="U351" s="230"/>
      <c r="V351" s="231"/>
      <c r="W351" s="232"/>
      <c r="X351" s="233"/>
      <c r="Y351" s="219"/>
      <c r="Z351" s="219"/>
    </row>
    <row r="352" spans="1:26" ht="15.75" thickBot="1">
      <c r="A352" s="225">
        <v>190</v>
      </c>
      <c r="B352" s="216"/>
      <c r="C352" s="216"/>
      <c r="D352" s="216"/>
      <c r="E352" s="216" t="s">
        <v>941</v>
      </c>
      <c r="F352" s="226" t="s">
        <v>942</v>
      </c>
      <c r="G352" s="227"/>
      <c r="H352" s="227"/>
      <c r="I352" s="216"/>
      <c r="J352" s="225">
        <v>3700</v>
      </c>
      <c r="K352" s="228">
        <v>3.1631944444444442E-2</v>
      </c>
      <c r="L352" s="225" t="s">
        <v>710</v>
      </c>
      <c r="M352" s="219"/>
      <c r="N352" s="219"/>
      <c r="O352" s="216"/>
      <c r="P352" s="216"/>
      <c r="Q352" s="216"/>
      <c r="R352" s="220"/>
      <c r="S352" s="220"/>
      <c r="T352" s="220"/>
      <c r="U352" s="230"/>
      <c r="V352" s="231"/>
      <c r="W352" s="232"/>
      <c r="X352" s="233"/>
      <c r="Y352" s="219"/>
      <c r="Z352" s="219"/>
    </row>
    <row r="353" spans="1:26" ht="15.75" thickBot="1">
      <c r="A353" s="225">
        <v>191</v>
      </c>
      <c r="B353" s="216"/>
      <c r="C353" s="216"/>
      <c r="D353" s="216"/>
      <c r="E353" s="216" t="s">
        <v>945</v>
      </c>
      <c r="F353" s="226" t="s">
        <v>946</v>
      </c>
      <c r="G353" s="227"/>
      <c r="H353" s="227"/>
      <c r="I353" s="216"/>
      <c r="J353" s="225">
        <v>9400</v>
      </c>
      <c r="K353" s="228">
        <v>4.0844907407407406E-2</v>
      </c>
      <c r="L353" s="225" t="s">
        <v>710</v>
      </c>
      <c r="M353" s="219"/>
      <c r="N353" s="219"/>
      <c r="O353" s="216"/>
      <c r="P353" s="216"/>
      <c r="Q353" s="216"/>
      <c r="R353" s="220"/>
      <c r="S353" s="220"/>
      <c r="T353" s="220"/>
      <c r="U353" s="230"/>
      <c r="V353" s="231"/>
      <c r="W353" s="232"/>
      <c r="X353" s="233"/>
      <c r="Y353" s="219"/>
      <c r="Z353" s="219"/>
    </row>
    <row r="354" spans="1:26" ht="15.75" thickBot="1">
      <c r="A354" s="225">
        <v>192</v>
      </c>
      <c r="B354" s="216"/>
      <c r="C354" s="216"/>
      <c r="D354" s="216"/>
      <c r="E354" s="216" t="s">
        <v>949</v>
      </c>
      <c r="F354" s="226" t="s">
        <v>950</v>
      </c>
      <c r="G354" s="227"/>
      <c r="H354" s="227"/>
      <c r="I354" s="216"/>
      <c r="J354" s="225">
        <v>938</v>
      </c>
      <c r="K354" s="228">
        <v>1.3541666666666667E-3</v>
      </c>
      <c r="L354" s="225" t="s">
        <v>710</v>
      </c>
      <c r="M354" s="219"/>
      <c r="N354" s="219"/>
      <c r="O354" s="216"/>
      <c r="P354" s="216"/>
      <c r="Q354" s="216"/>
      <c r="R354" s="220"/>
      <c r="S354" s="220"/>
      <c r="T354" s="220"/>
      <c r="U354" s="230"/>
      <c r="V354" s="231"/>
      <c r="W354" s="232"/>
      <c r="X354" s="233"/>
      <c r="Y354" s="219"/>
      <c r="Z354" s="219"/>
    </row>
    <row r="355" spans="1:26" ht="15.75" thickBot="1">
      <c r="A355" s="225">
        <v>193</v>
      </c>
      <c r="B355" s="216"/>
      <c r="C355" s="216"/>
      <c r="D355" s="216"/>
      <c r="E355" s="216" t="s">
        <v>954</v>
      </c>
      <c r="F355" s="226" t="s">
        <v>955</v>
      </c>
      <c r="G355" s="227"/>
      <c r="H355" s="227"/>
      <c r="I355" s="216"/>
      <c r="J355" s="225">
        <v>1800</v>
      </c>
      <c r="K355" s="228">
        <v>9.9189814814814817E-3</v>
      </c>
      <c r="L355" s="225" t="s">
        <v>710</v>
      </c>
      <c r="M355" s="219"/>
      <c r="N355" s="219"/>
      <c r="O355" s="216"/>
      <c r="P355" s="216"/>
      <c r="Q355" s="216"/>
      <c r="R355" s="220"/>
      <c r="S355" s="220"/>
      <c r="T355" s="220"/>
      <c r="U355" s="230"/>
      <c r="V355" s="231"/>
      <c r="W355" s="232"/>
      <c r="X355" s="233"/>
      <c r="Y355" s="219"/>
      <c r="Z355" s="219"/>
    </row>
    <row r="356" spans="1:26" ht="15.75" thickBot="1">
      <c r="A356" s="225">
        <v>194</v>
      </c>
      <c r="B356" s="216"/>
      <c r="C356" s="216"/>
      <c r="D356" s="216"/>
      <c r="E356" s="216" t="s">
        <v>960</v>
      </c>
      <c r="F356" s="226" t="s">
        <v>961</v>
      </c>
      <c r="G356" s="227"/>
      <c r="H356" s="227"/>
      <c r="I356" s="216"/>
      <c r="J356" s="225">
        <v>4400</v>
      </c>
      <c r="K356" s="228">
        <v>2.5416666666666667E-2</v>
      </c>
      <c r="L356" s="225" t="s">
        <v>710</v>
      </c>
      <c r="M356" s="219"/>
      <c r="N356" s="219"/>
      <c r="O356" s="216"/>
      <c r="P356" s="216"/>
      <c r="Q356" s="216"/>
      <c r="R356" s="220"/>
      <c r="S356" s="220"/>
      <c r="T356" s="220"/>
      <c r="U356" s="230"/>
      <c r="V356" s="231"/>
      <c r="W356" s="232"/>
      <c r="X356" s="233"/>
      <c r="Y356" s="219"/>
      <c r="Z356" s="219"/>
    </row>
    <row r="357" spans="1:26" ht="15.75" thickBot="1">
      <c r="A357" s="225">
        <v>195</v>
      </c>
      <c r="B357" s="216"/>
      <c r="C357" s="216"/>
      <c r="D357" s="216"/>
      <c r="E357" s="216" t="s">
        <v>964</v>
      </c>
      <c r="F357" s="226" t="s">
        <v>965</v>
      </c>
      <c r="G357" s="227"/>
      <c r="H357" s="227"/>
      <c r="I357" s="216"/>
      <c r="J357" s="225">
        <v>1000</v>
      </c>
      <c r="K357" s="228">
        <v>4.7453703703703703E-3</v>
      </c>
      <c r="L357" s="225" t="s">
        <v>710</v>
      </c>
      <c r="M357" s="219"/>
      <c r="N357" s="219"/>
      <c r="O357" s="216"/>
      <c r="P357" s="216"/>
      <c r="Q357" s="216"/>
      <c r="R357" s="220"/>
      <c r="S357" s="220"/>
      <c r="T357" s="220"/>
      <c r="U357" s="230"/>
      <c r="V357" s="231"/>
      <c r="W357" s="232"/>
      <c r="X357" s="233"/>
      <c r="Y357" s="219"/>
      <c r="Z357" s="219"/>
    </row>
    <row r="358" spans="1:26" ht="15.75" thickBot="1">
      <c r="A358" s="225">
        <v>196</v>
      </c>
      <c r="B358" s="216"/>
      <c r="C358" s="216"/>
      <c r="D358" s="216"/>
      <c r="E358" s="216" t="s">
        <v>968</v>
      </c>
      <c r="F358" s="226" t="s">
        <v>969</v>
      </c>
      <c r="G358" s="227"/>
      <c r="H358" s="227"/>
      <c r="I358" s="216"/>
      <c r="J358" s="225">
        <v>1000</v>
      </c>
      <c r="K358" s="228">
        <v>3.0671296296296297E-3</v>
      </c>
      <c r="L358" s="225" t="s">
        <v>710</v>
      </c>
      <c r="M358" s="219"/>
      <c r="N358" s="219"/>
      <c r="O358" s="216"/>
      <c r="P358" s="216"/>
      <c r="Q358" s="216"/>
      <c r="R358" s="220"/>
      <c r="S358" s="220"/>
      <c r="T358" s="220"/>
      <c r="U358" s="230"/>
      <c r="V358" s="231"/>
      <c r="W358" s="232"/>
      <c r="X358" s="233"/>
      <c r="Y358" s="219"/>
      <c r="Z358" s="219"/>
    </row>
    <row r="359" spans="1:26" ht="15.75" thickBot="1">
      <c r="A359" s="225">
        <v>197</v>
      </c>
      <c r="B359" s="216"/>
      <c r="C359" s="216"/>
      <c r="D359" s="216"/>
      <c r="E359" s="216" t="s">
        <v>970</v>
      </c>
      <c r="F359" s="226" t="s">
        <v>971</v>
      </c>
      <c r="G359" s="227"/>
      <c r="H359" s="227"/>
      <c r="I359" s="216"/>
      <c r="J359" s="225">
        <v>1800</v>
      </c>
      <c r="K359" s="228">
        <v>1.8750000000000001E-3</v>
      </c>
      <c r="L359" s="225" t="s">
        <v>710</v>
      </c>
      <c r="M359" s="219"/>
      <c r="N359" s="219"/>
      <c r="O359" s="216"/>
      <c r="P359" s="216"/>
      <c r="Q359" s="216"/>
      <c r="R359" s="220"/>
      <c r="S359" s="220"/>
      <c r="T359" s="220"/>
      <c r="U359" s="230"/>
      <c r="V359" s="231"/>
      <c r="W359" s="232"/>
      <c r="X359" s="233"/>
      <c r="Y359" s="219"/>
      <c r="Z359" s="219"/>
    </row>
    <row r="360" spans="1:26" ht="15.75" thickBot="1">
      <c r="A360" s="225">
        <v>198</v>
      </c>
      <c r="B360" s="216"/>
      <c r="C360" s="216"/>
      <c r="D360" s="216"/>
      <c r="E360" s="216" t="s">
        <v>972</v>
      </c>
      <c r="F360" s="226" t="s">
        <v>973</v>
      </c>
      <c r="G360" s="227"/>
      <c r="H360" s="227"/>
      <c r="I360" s="216"/>
      <c r="J360" s="225">
        <v>2000</v>
      </c>
      <c r="K360" s="228">
        <v>8.819444444444444E-3</v>
      </c>
      <c r="L360" s="225" t="s">
        <v>710</v>
      </c>
      <c r="M360" s="219"/>
      <c r="N360" s="219"/>
      <c r="O360" s="216"/>
      <c r="P360" s="216"/>
      <c r="Q360" s="216"/>
      <c r="R360" s="220"/>
      <c r="S360" s="220"/>
      <c r="T360" s="220"/>
      <c r="U360" s="230"/>
      <c r="V360" s="231"/>
      <c r="W360" s="232"/>
      <c r="X360" s="233"/>
      <c r="Y360" s="219"/>
      <c r="Z360" s="219"/>
    </row>
    <row r="361" spans="1:26" ht="15.75" thickBot="1">
      <c r="A361" s="225">
        <v>199</v>
      </c>
      <c r="B361" s="216"/>
      <c r="C361" s="216"/>
      <c r="D361" s="216"/>
      <c r="E361" s="216" t="s">
        <v>974</v>
      </c>
      <c r="F361" s="226" t="s">
        <v>975</v>
      </c>
      <c r="G361" s="227"/>
      <c r="H361" s="227"/>
      <c r="I361" s="216"/>
      <c r="J361" s="225">
        <v>3100</v>
      </c>
      <c r="K361" s="228">
        <v>8.9930555555555545E-3</v>
      </c>
      <c r="L361" s="225" t="s">
        <v>710</v>
      </c>
      <c r="M361" s="219"/>
      <c r="N361" s="219"/>
      <c r="O361" s="216"/>
      <c r="P361" s="216"/>
      <c r="Q361" s="216"/>
      <c r="R361" s="220"/>
      <c r="S361" s="220"/>
      <c r="T361" s="220"/>
      <c r="U361" s="230"/>
      <c r="V361" s="231"/>
      <c r="W361" s="232"/>
      <c r="X361" s="233"/>
      <c r="Y361" s="219"/>
      <c r="Z361" s="219"/>
    </row>
    <row r="362" spans="1:26" ht="15.75" thickBot="1">
      <c r="A362" s="225">
        <v>200</v>
      </c>
      <c r="B362" s="216"/>
      <c r="C362" s="216"/>
      <c r="D362" s="216"/>
      <c r="E362" s="216" t="s">
        <v>976</v>
      </c>
      <c r="F362" s="226" t="s">
        <v>977</v>
      </c>
      <c r="G362" s="227"/>
      <c r="H362" s="227"/>
      <c r="I362" s="216"/>
      <c r="J362" s="225">
        <v>2400</v>
      </c>
      <c r="K362" s="228">
        <v>9.2592592592592605E-3</v>
      </c>
      <c r="L362" s="225" t="s">
        <v>710</v>
      </c>
      <c r="M362" s="219"/>
      <c r="N362" s="219"/>
      <c r="O362" s="216"/>
      <c r="P362" s="216"/>
      <c r="Q362" s="216"/>
      <c r="R362" s="220"/>
      <c r="S362" s="220"/>
      <c r="T362" s="220"/>
      <c r="U362" s="230"/>
      <c r="V362" s="231"/>
      <c r="W362" s="232"/>
      <c r="X362" s="233"/>
      <c r="Y362" s="219"/>
      <c r="Z362" s="219"/>
    </row>
    <row r="363" spans="1:26" ht="15.75" thickBot="1">
      <c r="A363" s="225">
        <v>201</v>
      </c>
      <c r="B363" s="216"/>
      <c r="C363" s="216"/>
      <c r="D363" s="216"/>
      <c r="E363" s="216" t="s">
        <v>978</v>
      </c>
      <c r="F363" s="226" t="s">
        <v>979</v>
      </c>
      <c r="G363" s="227"/>
      <c r="H363" s="227"/>
      <c r="I363" s="216"/>
      <c r="J363" s="225">
        <v>8100</v>
      </c>
      <c r="K363" s="228">
        <v>2.6388888888888885E-3</v>
      </c>
      <c r="L363" s="225" t="s">
        <v>980</v>
      </c>
      <c r="M363" s="219"/>
      <c r="N363" s="219"/>
      <c r="O363" s="216"/>
      <c r="P363" s="216"/>
      <c r="Q363" s="216"/>
      <c r="R363" s="220"/>
      <c r="S363" s="220"/>
      <c r="T363" s="220"/>
      <c r="U363" s="230"/>
      <c r="V363" s="231"/>
      <c r="W363" s="232"/>
      <c r="X363" s="233"/>
      <c r="Y363" s="219"/>
      <c r="Z363" s="219"/>
    </row>
    <row r="364" spans="1:26" ht="15.75" thickBot="1">
      <c r="A364" s="225">
        <v>202</v>
      </c>
      <c r="B364" s="216"/>
      <c r="C364" s="216"/>
      <c r="D364" s="216"/>
      <c r="E364" s="216" t="s">
        <v>981</v>
      </c>
      <c r="F364" s="226" t="s">
        <v>982</v>
      </c>
      <c r="G364" s="227"/>
      <c r="H364" s="227"/>
      <c r="I364" s="216"/>
      <c r="J364" s="225">
        <v>2700</v>
      </c>
      <c r="K364" s="228">
        <v>2.7199074074074074E-3</v>
      </c>
      <c r="L364" s="225" t="s">
        <v>980</v>
      </c>
      <c r="M364" s="219"/>
      <c r="N364" s="219"/>
      <c r="O364" s="216"/>
      <c r="P364" s="216"/>
      <c r="Q364" s="216"/>
      <c r="R364" s="220"/>
      <c r="S364" s="220"/>
      <c r="T364" s="220"/>
      <c r="U364" s="230"/>
      <c r="V364" s="231"/>
      <c r="W364" s="232"/>
      <c r="X364" s="233"/>
      <c r="Y364" s="219"/>
      <c r="Z364" s="219"/>
    </row>
    <row r="365" spans="1:26" ht="15.75" thickBot="1">
      <c r="A365" s="225">
        <v>203</v>
      </c>
      <c r="B365" s="216"/>
      <c r="C365" s="216"/>
      <c r="D365" s="216"/>
      <c r="E365" s="216" t="s">
        <v>983</v>
      </c>
      <c r="F365" s="226" t="s">
        <v>984</v>
      </c>
      <c r="G365" s="227"/>
      <c r="H365" s="227"/>
      <c r="I365" s="216"/>
      <c r="J365" s="225">
        <v>2900</v>
      </c>
      <c r="K365" s="228">
        <v>2.2800925925925927E-3</v>
      </c>
      <c r="L365" s="225" t="s">
        <v>980</v>
      </c>
      <c r="M365" s="219"/>
      <c r="N365" s="219"/>
      <c r="O365" s="216"/>
      <c r="P365" s="216"/>
      <c r="Q365" s="216"/>
      <c r="R365" s="220"/>
      <c r="S365" s="220"/>
      <c r="T365" s="220"/>
      <c r="U365" s="230"/>
      <c r="V365" s="231"/>
      <c r="W365" s="232"/>
      <c r="X365" s="233"/>
      <c r="Y365" s="219"/>
      <c r="Z365" s="219"/>
    </row>
    <row r="366" spans="1:26" ht="15.75" thickBot="1">
      <c r="A366" s="225">
        <v>204</v>
      </c>
      <c r="B366" s="216"/>
      <c r="C366" s="216"/>
      <c r="D366" s="216"/>
      <c r="E366" s="216" t="s">
        <v>985</v>
      </c>
      <c r="F366" s="226" t="s">
        <v>986</v>
      </c>
      <c r="G366" s="227"/>
      <c r="H366" s="227"/>
      <c r="I366" s="216"/>
      <c r="J366" s="225">
        <v>3900</v>
      </c>
      <c r="K366" s="228">
        <v>4.3518518518518515E-3</v>
      </c>
      <c r="L366" s="225" t="s">
        <v>980</v>
      </c>
      <c r="M366" s="219"/>
      <c r="N366" s="219"/>
      <c r="O366" s="216"/>
      <c r="P366" s="216"/>
      <c r="Q366" s="216"/>
      <c r="R366" s="220"/>
      <c r="S366" s="220"/>
      <c r="T366" s="220"/>
      <c r="U366" s="230"/>
      <c r="V366" s="231"/>
      <c r="W366" s="232"/>
      <c r="X366" s="233"/>
      <c r="Y366" s="219"/>
      <c r="Z366" s="219"/>
    </row>
    <row r="367" spans="1:26" ht="15.75" thickBot="1">
      <c r="A367" s="225">
        <v>205</v>
      </c>
      <c r="B367" s="216"/>
      <c r="C367" s="216"/>
      <c r="D367" s="216"/>
      <c r="E367" s="216" t="s">
        <v>987</v>
      </c>
      <c r="F367" s="226" t="s">
        <v>988</v>
      </c>
      <c r="G367" s="227"/>
      <c r="H367" s="227"/>
      <c r="I367" s="216"/>
      <c r="J367" s="225">
        <v>3900</v>
      </c>
      <c r="K367" s="228">
        <v>6.4930555555555549E-3</v>
      </c>
      <c r="L367" s="225" t="s">
        <v>980</v>
      </c>
      <c r="M367" s="219"/>
      <c r="N367" s="219"/>
      <c r="O367" s="216"/>
      <c r="P367" s="216"/>
      <c r="Q367" s="216"/>
      <c r="R367" s="220"/>
      <c r="S367" s="220"/>
      <c r="T367" s="220"/>
      <c r="U367" s="230"/>
      <c r="V367" s="231"/>
      <c r="W367" s="232"/>
      <c r="X367" s="233"/>
      <c r="Y367" s="219"/>
      <c r="Z367" s="219"/>
    </row>
    <row r="368" spans="1:26" ht="15.75" thickBot="1">
      <c r="A368" s="225">
        <v>206</v>
      </c>
      <c r="B368" s="216"/>
      <c r="C368" s="216"/>
      <c r="D368" s="216"/>
      <c r="E368" s="216" t="s">
        <v>989</v>
      </c>
      <c r="F368" s="226" t="s">
        <v>990</v>
      </c>
      <c r="G368" s="227"/>
      <c r="H368" s="227"/>
      <c r="I368" s="216"/>
      <c r="J368" s="225">
        <v>4400</v>
      </c>
      <c r="K368" s="228">
        <v>9.2129629629629627E-3</v>
      </c>
      <c r="L368" s="225" t="s">
        <v>980</v>
      </c>
      <c r="M368" s="219"/>
      <c r="N368" s="219"/>
      <c r="O368" s="216"/>
      <c r="P368" s="216"/>
      <c r="Q368" s="216"/>
      <c r="R368" s="220"/>
      <c r="S368" s="220"/>
      <c r="T368" s="220"/>
      <c r="U368" s="230"/>
      <c r="V368" s="231"/>
      <c r="W368" s="232"/>
      <c r="X368" s="233"/>
      <c r="Y368" s="219"/>
      <c r="Z368" s="219"/>
    </row>
    <row r="369" spans="1:26" ht="15.75" thickBot="1">
      <c r="A369" s="225">
        <v>207</v>
      </c>
      <c r="B369" s="216"/>
      <c r="C369" s="216"/>
      <c r="D369" s="216"/>
      <c r="E369" s="216" t="s">
        <v>991</v>
      </c>
      <c r="F369" s="226" t="s">
        <v>992</v>
      </c>
      <c r="G369" s="227"/>
      <c r="H369" s="227"/>
      <c r="I369" s="216"/>
      <c r="J369" s="225">
        <v>4200</v>
      </c>
      <c r="K369" s="228">
        <v>7.2337962962962963E-3</v>
      </c>
      <c r="L369" s="225" t="s">
        <v>980</v>
      </c>
      <c r="M369" s="219"/>
      <c r="N369" s="219"/>
      <c r="O369" s="216"/>
      <c r="P369" s="216"/>
      <c r="Q369" s="216"/>
      <c r="R369" s="220"/>
      <c r="S369" s="220"/>
      <c r="T369" s="220"/>
      <c r="U369" s="230"/>
      <c r="V369" s="231"/>
      <c r="W369" s="232"/>
      <c r="X369" s="233"/>
      <c r="Y369" s="219"/>
      <c r="Z369" s="219"/>
    </row>
    <row r="370" spans="1:26" ht="15.75" thickBot="1">
      <c r="A370" s="225">
        <v>208</v>
      </c>
      <c r="B370" s="216"/>
      <c r="C370" s="216"/>
      <c r="D370" s="216"/>
      <c r="E370" s="216" t="s">
        <v>994</v>
      </c>
      <c r="F370" s="226" t="s">
        <v>995</v>
      </c>
      <c r="G370" s="227"/>
      <c r="H370" s="227"/>
      <c r="I370" s="216"/>
      <c r="J370" s="225">
        <v>1900</v>
      </c>
      <c r="K370" s="228">
        <v>4.3981481481481484E-3</v>
      </c>
      <c r="L370" s="225" t="s">
        <v>980</v>
      </c>
      <c r="M370" s="219"/>
      <c r="N370" s="219"/>
      <c r="O370" s="216"/>
      <c r="P370" s="216"/>
      <c r="Q370" s="216"/>
      <c r="R370" s="220"/>
      <c r="S370" s="220"/>
      <c r="T370" s="220"/>
      <c r="U370" s="230"/>
      <c r="V370" s="231"/>
      <c r="W370" s="232"/>
      <c r="X370" s="233"/>
      <c r="Y370" s="219"/>
      <c r="Z370" s="219"/>
    </row>
    <row r="371" spans="1:26" ht="15.75" thickBot="1">
      <c r="A371" s="225">
        <v>209</v>
      </c>
      <c r="B371" s="216"/>
      <c r="C371" s="216"/>
      <c r="D371" s="216"/>
      <c r="E371" s="216" t="s">
        <v>996</v>
      </c>
      <c r="F371" s="226" t="s">
        <v>997</v>
      </c>
      <c r="G371" s="227"/>
      <c r="H371" s="227"/>
      <c r="I371" s="216"/>
      <c r="J371" s="225">
        <v>2800</v>
      </c>
      <c r="K371" s="228">
        <v>6.5393518518518517E-3</v>
      </c>
      <c r="L371" s="225" t="s">
        <v>980</v>
      </c>
      <c r="M371" s="219"/>
      <c r="N371" s="219"/>
      <c r="O371" s="216"/>
      <c r="P371" s="216"/>
      <c r="Q371" s="216"/>
      <c r="R371" s="220"/>
      <c r="S371" s="220"/>
      <c r="T371" s="220"/>
      <c r="U371" s="230"/>
      <c r="V371" s="231"/>
      <c r="W371" s="232"/>
      <c r="X371" s="233"/>
      <c r="Y371" s="219"/>
      <c r="Z371" s="219"/>
    </row>
    <row r="372" spans="1:26" ht="15.75" thickBot="1">
      <c r="A372" s="225">
        <v>210</v>
      </c>
      <c r="B372" s="216"/>
      <c r="C372" s="216"/>
      <c r="D372" s="216"/>
      <c r="E372" s="216" t="s">
        <v>998</v>
      </c>
      <c r="F372" s="226" t="s">
        <v>999</v>
      </c>
      <c r="G372" s="227"/>
      <c r="H372" s="227"/>
      <c r="I372" s="216"/>
      <c r="J372" s="225">
        <v>1300</v>
      </c>
      <c r="K372" s="228">
        <v>3.2175925925925926E-3</v>
      </c>
      <c r="L372" s="225" t="s">
        <v>980</v>
      </c>
      <c r="M372" s="219"/>
      <c r="N372" s="219"/>
      <c r="O372" s="216"/>
      <c r="P372" s="216"/>
      <c r="Q372" s="216"/>
      <c r="R372" s="220"/>
      <c r="S372" s="220"/>
      <c r="T372" s="220"/>
      <c r="U372" s="230"/>
      <c r="V372" s="231"/>
      <c r="W372" s="232"/>
      <c r="X372" s="233"/>
      <c r="Y372" s="219"/>
      <c r="Z372" s="219"/>
    </row>
    <row r="373" spans="1:26" ht="15.75" thickBot="1">
      <c r="A373" s="225">
        <v>211</v>
      </c>
      <c r="B373" s="216"/>
      <c r="C373" s="216"/>
      <c r="D373" s="216"/>
      <c r="E373" s="216" t="s">
        <v>1000</v>
      </c>
      <c r="F373" s="226" t="s">
        <v>1001</v>
      </c>
      <c r="G373" s="227"/>
      <c r="H373" s="227"/>
      <c r="I373" s="216"/>
      <c r="J373" s="225">
        <v>8700</v>
      </c>
      <c r="K373" s="228">
        <v>1.3078703703703703E-2</v>
      </c>
      <c r="L373" s="225" t="s">
        <v>980</v>
      </c>
      <c r="M373" s="219"/>
      <c r="N373" s="219"/>
      <c r="O373" s="216"/>
      <c r="P373" s="216"/>
      <c r="Q373" s="216"/>
      <c r="R373" s="220"/>
      <c r="S373" s="220"/>
      <c r="T373" s="220"/>
      <c r="U373" s="230"/>
      <c r="V373" s="231"/>
      <c r="W373" s="232"/>
      <c r="X373" s="233"/>
      <c r="Y373" s="219"/>
      <c r="Z373" s="219"/>
    </row>
    <row r="374" spans="1:26" ht="15.75" thickBot="1">
      <c r="A374" s="225">
        <v>212</v>
      </c>
      <c r="B374" s="216"/>
      <c r="C374" s="216"/>
      <c r="D374" s="216"/>
      <c r="E374" s="216" t="s">
        <v>1002</v>
      </c>
      <c r="F374" s="226" t="s">
        <v>1003</v>
      </c>
      <c r="G374" s="227"/>
      <c r="H374" s="227"/>
      <c r="I374" s="216"/>
      <c r="J374" s="225">
        <v>2400</v>
      </c>
      <c r="K374" s="228">
        <v>8.0092592592592594E-3</v>
      </c>
      <c r="L374" s="225" t="s">
        <v>980</v>
      </c>
      <c r="M374" s="219"/>
      <c r="N374" s="219"/>
      <c r="O374" s="216"/>
      <c r="P374" s="216"/>
      <c r="Q374" s="216"/>
      <c r="R374" s="220"/>
      <c r="S374" s="220"/>
      <c r="T374" s="220"/>
      <c r="U374" s="230"/>
      <c r="V374" s="231"/>
      <c r="W374" s="232"/>
      <c r="X374" s="233"/>
      <c r="Y374" s="219"/>
      <c r="Z374" s="219"/>
    </row>
    <row r="375" spans="1:26" ht="15.75" thickBot="1">
      <c r="A375" s="225">
        <v>213</v>
      </c>
      <c r="B375" s="216"/>
      <c r="C375" s="216"/>
      <c r="D375" s="216"/>
      <c r="E375" s="216" t="s">
        <v>1004</v>
      </c>
      <c r="F375" s="226" t="s">
        <v>1005</v>
      </c>
      <c r="G375" s="227"/>
      <c r="H375" s="227"/>
      <c r="I375" s="216"/>
      <c r="J375" s="225">
        <v>2800</v>
      </c>
      <c r="K375" s="228">
        <v>2.5462962962962961E-3</v>
      </c>
      <c r="L375" s="225" t="s">
        <v>980</v>
      </c>
      <c r="M375" s="219"/>
      <c r="N375" s="219"/>
      <c r="O375" s="216"/>
      <c r="P375" s="216"/>
      <c r="Q375" s="216"/>
      <c r="R375" s="220"/>
      <c r="S375" s="220"/>
      <c r="T375" s="220"/>
      <c r="U375" s="230"/>
      <c r="V375" s="231"/>
      <c r="W375" s="232"/>
      <c r="X375" s="233"/>
      <c r="Y375" s="219"/>
      <c r="Z375" s="219"/>
    </row>
    <row r="376" spans="1:26" ht="15.75" thickBot="1">
      <c r="A376" s="225">
        <v>214</v>
      </c>
      <c r="B376" s="216"/>
      <c r="C376" s="216"/>
      <c r="D376" s="216"/>
      <c r="E376" s="216" t="s">
        <v>1006</v>
      </c>
      <c r="F376" s="226" t="s">
        <v>1007</v>
      </c>
      <c r="G376" s="227"/>
      <c r="H376" s="227"/>
      <c r="I376" s="216"/>
      <c r="J376" s="225">
        <v>8100</v>
      </c>
      <c r="K376" s="228">
        <v>2.9814814814814811E-2</v>
      </c>
      <c r="L376" s="225" t="s">
        <v>980</v>
      </c>
      <c r="M376" s="219"/>
      <c r="N376" s="219"/>
      <c r="O376" s="216"/>
      <c r="P376" s="216"/>
      <c r="Q376" s="216"/>
      <c r="R376" s="220"/>
      <c r="S376" s="220"/>
      <c r="T376" s="220"/>
      <c r="U376" s="230"/>
      <c r="V376" s="231"/>
      <c r="W376" s="232"/>
      <c r="X376" s="233"/>
      <c r="Y376" s="219"/>
      <c r="Z376" s="219"/>
    </row>
    <row r="377" spans="1:26" ht="15.75" thickBot="1">
      <c r="A377" s="225">
        <v>215</v>
      </c>
      <c r="B377" s="216"/>
      <c r="C377" s="216"/>
      <c r="D377" s="216"/>
      <c r="E377" s="216" t="s">
        <v>1008</v>
      </c>
      <c r="F377" s="226" t="s">
        <v>1009</v>
      </c>
      <c r="G377" s="227"/>
      <c r="H377" s="227"/>
      <c r="I377" s="216"/>
      <c r="J377" s="225">
        <v>1700</v>
      </c>
      <c r="K377" s="228">
        <v>6.7939814814814816E-3</v>
      </c>
      <c r="L377" s="225" t="s">
        <v>980</v>
      </c>
      <c r="M377" s="219"/>
      <c r="N377" s="219"/>
      <c r="O377" s="216"/>
      <c r="P377" s="216"/>
      <c r="Q377" s="216"/>
      <c r="R377" s="220"/>
      <c r="S377" s="220"/>
      <c r="T377" s="220"/>
      <c r="U377" s="230"/>
      <c r="V377" s="231"/>
      <c r="W377" s="232"/>
      <c r="X377" s="233"/>
      <c r="Y377" s="219"/>
      <c r="Z377" s="219"/>
    </row>
    <row r="378" spans="1:26" ht="15.75" thickBot="1">
      <c r="A378" s="225">
        <v>216</v>
      </c>
      <c r="B378" s="216"/>
      <c r="C378" s="216"/>
      <c r="D378" s="216"/>
      <c r="E378" s="216" t="s">
        <v>1010</v>
      </c>
      <c r="F378" s="226" t="s">
        <v>1011</v>
      </c>
      <c r="G378" s="227"/>
      <c r="H378" s="227"/>
      <c r="I378" s="216"/>
      <c r="J378" s="225">
        <v>3900</v>
      </c>
      <c r="K378" s="228">
        <v>3.0902777777777782E-3</v>
      </c>
      <c r="L378" s="225" t="s">
        <v>980</v>
      </c>
      <c r="M378" s="219"/>
      <c r="N378" s="219"/>
      <c r="O378" s="216"/>
      <c r="P378" s="216"/>
      <c r="Q378" s="216"/>
      <c r="R378" s="220"/>
      <c r="S378" s="220"/>
      <c r="T378" s="220"/>
      <c r="U378" s="230"/>
      <c r="V378" s="231"/>
      <c r="W378" s="232"/>
      <c r="X378" s="233"/>
      <c r="Y378" s="219"/>
      <c r="Z378" s="219"/>
    </row>
    <row r="379" spans="1:26" ht="15.75" thickBot="1">
      <c r="A379" s="225">
        <v>217</v>
      </c>
      <c r="B379" s="216"/>
      <c r="C379" s="216"/>
      <c r="D379" s="216"/>
      <c r="E379" s="216" t="s">
        <v>1012</v>
      </c>
      <c r="F379" s="226" t="s">
        <v>1013</v>
      </c>
      <c r="G379" s="227"/>
      <c r="H379" s="227"/>
      <c r="I379" s="216"/>
      <c r="J379" s="225">
        <v>254</v>
      </c>
      <c r="K379" s="228">
        <v>2.7314814814814819E-3</v>
      </c>
      <c r="L379" s="225" t="s">
        <v>980</v>
      </c>
      <c r="M379" s="219"/>
      <c r="N379" s="219"/>
      <c r="O379" s="216"/>
      <c r="P379" s="216"/>
      <c r="Q379" s="216"/>
      <c r="R379" s="220"/>
      <c r="S379" s="220"/>
      <c r="T379" s="220"/>
      <c r="U379" s="230"/>
      <c r="V379" s="231"/>
      <c r="W379" s="232"/>
      <c r="X379" s="233"/>
      <c r="Y379" s="219"/>
      <c r="Z379" s="219"/>
    </row>
    <row r="380" spans="1:26" ht="15.75" thickBot="1">
      <c r="A380" s="225">
        <v>218</v>
      </c>
      <c r="B380" s="216"/>
      <c r="C380" s="216"/>
      <c r="D380" s="216"/>
      <c r="E380" s="216" t="s">
        <v>1014</v>
      </c>
      <c r="F380" s="226" t="s">
        <v>1015</v>
      </c>
      <c r="G380" s="227"/>
      <c r="H380" s="227"/>
      <c r="I380" s="216"/>
      <c r="J380" s="225">
        <v>10000</v>
      </c>
      <c r="K380" s="228">
        <v>1.8865740740740742E-2</v>
      </c>
      <c r="L380" s="225" t="s">
        <v>980</v>
      </c>
      <c r="M380" s="219"/>
      <c r="N380" s="219"/>
      <c r="O380" s="216"/>
      <c r="P380" s="216"/>
      <c r="Q380" s="216"/>
      <c r="R380" s="220"/>
      <c r="S380" s="220"/>
      <c r="T380" s="220"/>
      <c r="U380" s="230"/>
      <c r="V380" s="231"/>
      <c r="W380" s="232"/>
      <c r="X380" s="233"/>
      <c r="Y380" s="219"/>
      <c r="Z380" s="219"/>
    </row>
    <row r="381" spans="1:26" ht="15.75" thickBot="1">
      <c r="A381" s="225">
        <v>219</v>
      </c>
      <c r="B381" s="216"/>
      <c r="C381" s="216"/>
      <c r="D381" s="216"/>
      <c r="E381" s="216" t="s">
        <v>1016</v>
      </c>
      <c r="F381" s="226" t="s">
        <v>1017</v>
      </c>
      <c r="G381" s="227"/>
      <c r="H381" s="227"/>
      <c r="I381" s="216"/>
      <c r="J381" s="225">
        <v>7800</v>
      </c>
      <c r="K381" s="228">
        <v>2.5567129629629634E-2</v>
      </c>
      <c r="L381" s="225" t="s">
        <v>980</v>
      </c>
      <c r="M381" s="219"/>
      <c r="N381" s="219"/>
      <c r="O381" s="216"/>
      <c r="P381" s="216"/>
      <c r="Q381" s="216"/>
      <c r="R381" s="220"/>
      <c r="S381" s="220"/>
      <c r="T381" s="220"/>
      <c r="U381" s="230"/>
      <c r="V381" s="231"/>
      <c r="W381" s="232"/>
      <c r="X381" s="233"/>
      <c r="Y381" s="219"/>
      <c r="Z381" s="219"/>
    </row>
    <row r="382" spans="1:26" ht="15.75" thickBot="1">
      <c r="A382" s="225">
        <v>220</v>
      </c>
      <c r="B382" s="216"/>
      <c r="C382" s="216"/>
      <c r="D382" s="216"/>
      <c r="E382" s="216" t="s">
        <v>1018</v>
      </c>
      <c r="F382" s="226" t="s">
        <v>1019</v>
      </c>
      <c r="G382" s="227"/>
      <c r="H382" s="227"/>
      <c r="I382" s="216"/>
      <c r="J382" s="225">
        <v>499</v>
      </c>
      <c r="K382" s="228">
        <v>1.2291666666666666E-2</v>
      </c>
      <c r="L382" s="225" t="s">
        <v>980</v>
      </c>
      <c r="M382" s="219"/>
      <c r="N382" s="219"/>
      <c r="O382" s="216"/>
      <c r="P382" s="216"/>
      <c r="Q382" s="216"/>
      <c r="R382" s="220"/>
      <c r="S382" s="220"/>
      <c r="T382" s="220"/>
      <c r="U382" s="230"/>
      <c r="V382" s="231"/>
      <c r="W382" s="232"/>
      <c r="X382" s="233"/>
      <c r="Y382" s="219"/>
      <c r="Z382" s="219"/>
    </row>
    <row r="383" spans="1:26" ht="15.75" thickBot="1">
      <c r="A383" s="225">
        <v>221</v>
      </c>
      <c r="B383" s="216"/>
      <c r="C383" s="216"/>
      <c r="D383" s="216"/>
      <c r="E383" s="216" t="s">
        <v>1020</v>
      </c>
      <c r="F383" s="226" t="s">
        <v>1021</v>
      </c>
      <c r="G383" s="227"/>
      <c r="H383" s="227"/>
      <c r="I383" s="216"/>
      <c r="J383" s="225">
        <v>2600</v>
      </c>
      <c r="K383" s="228">
        <v>2.2916666666666667E-3</v>
      </c>
      <c r="L383" s="225" t="s">
        <v>980</v>
      </c>
      <c r="M383" s="219"/>
      <c r="N383" s="219"/>
      <c r="O383" s="216"/>
      <c r="P383" s="216"/>
      <c r="Q383" s="216"/>
      <c r="R383" s="220"/>
      <c r="S383" s="220"/>
      <c r="T383" s="220"/>
      <c r="U383" s="230"/>
      <c r="V383" s="231"/>
      <c r="W383" s="232"/>
      <c r="X383" s="233"/>
      <c r="Y383" s="219"/>
      <c r="Z383" s="219"/>
    </row>
    <row r="384" spans="1:26" ht="15.75" thickBot="1">
      <c r="A384" s="225">
        <v>222</v>
      </c>
      <c r="B384" s="216"/>
      <c r="C384" s="216"/>
      <c r="D384" s="216"/>
      <c r="E384" s="216" t="s">
        <v>1022</v>
      </c>
      <c r="F384" s="226" t="s">
        <v>1023</v>
      </c>
      <c r="G384" s="227"/>
      <c r="H384" s="227"/>
      <c r="I384" s="216"/>
      <c r="J384" s="225">
        <v>1100</v>
      </c>
      <c r="K384" s="228">
        <v>4.155092592592593E-3</v>
      </c>
      <c r="L384" s="225" t="s">
        <v>980</v>
      </c>
      <c r="M384" s="219"/>
      <c r="N384" s="219"/>
      <c r="O384" s="216"/>
      <c r="P384" s="216"/>
      <c r="Q384" s="216"/>
      <c r="R384" s="220"/>
      <c r="S384" s="220"/>
      <c r="T384" s="220"/>
      <c r="U384" s="230"/>
      <c r="V384" s="231"/>
      <c r="W384" s="232"/>
      <c r="X384" s="233"/>
      <c r="Y384" s="219"/>
      <c r="Z384" s="219"/>
    </row>
    <row r="385" spans="1:26" ht="15.75" thickBot="1">
      <c r="A385" s="225">
        <v>223</v>
      </c>
      <c r="B385" s="216"/>
      <c r="C385" s="216"/>
      <c r="D385" s="216"/>
      <c r="E385" s="216" t="s">
        <v>1024</v>
      </c>
      <c r="F385" s="226" t="s">
        <v>1025</v>
      </c>
      <c r="G385" s="227"/>
      <c r="H385" s="227"/>
      <c r="I385" s="216"/>
      <c r="J385" s="225">
        <v>1400</v>
      </c>
      <c r="K385" s="228">
        <v>1.4814814814814814E-3</v>
      </c>
      <c r="L385" s="225" t="s">
        <v>980</v>
      </c>
      <c r="M385" s="219"/>
      <c r="N385" s="219"/>
      <c r="O385" s="216"/>
      <c r="P385" s="216"/>
      <c r="Q385" s="216"/>
      <c r="R385" s="220"/>
      <c r="S385" s="220"/>
      <c r="T385" s="220"/>
      <c r="U385" s="230"/>
      <c r="V385" s="231"/>
      <c r="W385" s="232"/>
      <c r="X385" s="233"/>
      <c r="Y385" s="219"/>
      <c r="Z385" s="219"/>
    </row>
    <row r="386" spans="1:26" ht="15.75" thickBot="1">
      <c r="A386" s="225">
        <v>224</v>
      </c>
      <c r="B386" s="216"/>
      <c r="C386" s="216"/>
      <c r="D386" s="216"/>
      <c r="E386" s="216" t="s">
        <v>1026</v>
      </c>
      <c r="F386" s="226" t="s">
        <v>1027</v>
      </c>
      <c r="G386" s="227"/>
      <c r="H386" s="227"/>
      <c r="I386" s="216"/>
      <c r="J386" s="225">
        <v>1400</v>
      </c>
      <c r="K386" s="228">
        <v>1.5740740740740741E-3</v>
      </c>
      <c r="L386" s="225" t="s">
        <v>980</v>
      </c>
      <c r="M386" s="219"/>
      <c r="N386" s="219"/>
      <c r="O386" s="216"/>
      <c r="P386" s="216"/>
      <c r="Q386" s="216"/>
      <c r="R386" s="220"/>
      <c r="S386" s="220"/>
      <c r="T386" s="220"/>
      <c r="U386" s="230"/>
      <c r="V386" s="231"/>
      <c r="W386" s="232"/>
      <c r="X386" s="233"/>
      <c r="Y386" s="219"/>
      <c r="Z386" s="219"/>
    </row>
    <row r="387" spans="1:26" ht="15.75" thickBot="1">
      <c r="A387" s="225">
        <v>225</v>
      </c>
      <c r="B387" s="216"/>
      <c r="C387" s="216"/>
      <c r="D387" s="216"/>
      <c r="E387" s="216" t="s">
        <v>1028</v>
      </c>
      <c r="F387" s="226" t="s">
        <v>1029</v>
      </c>
      <c r="G387" s="227"/>
      <c r="H387" s="227"/>
      <c r="I387" s="216"/>
      <c r="J387" s="225">
        <v>3600</v>
      </c>
      <c r="K387" s="228">
        <v>7.3495370370370372E-3</v>
      </c>
      <c r="L387" s="225" t="s">
        <v>980</v>
      </c>
      <c r="M387" s="219"/>
      <c r="N387" s="219"/>
      <c r="O387" s="216"/>
      <c r="P387" s="216"/>
      <c r="Q387" s="216"/>
      <c r="R387" s="220"/>
      <c r="S387" s="220"/>
      <c r="T387" s="220"/>
      <c r="U387" s="230"/>
      <c r="V387" s="231"/>
      <c r="W387" s="232"/>
      <c r="X387" s="233"/>
      <c r="Y387" s="219"/>
      <c r="Z387" s="219"/>
    </row>
    <row r="388" spans="1:26" ht="15.75" thickBot="1">
      <c r="A388" s="225">
        <v>226</v>
      </c>
      <c r="B388" s="216"/>
      <c r="C388" s="216"/>
      <c r="D388" s="216"/>
      <c r="E388" s="216" t="s">
        <v>1030</v>
      </c>
      <c r="F388" s="226" t="s">
        <v>1031</v>
      </c>
      <c r="G388" s="227"/>
      <c r="H388" s="227"/>
      <c r="I388" s="216"/>
      <c r="J388" s="225">
        <v>7800</v>
      </c>
      <c r="K388" s="228">
        <v>2.5925925925925925E-3</v>
      </c>
      <c r="L388" s="225" t="s">
        <v>980</v>
      </c>
      <c r="M388" s="219"/>
      <c r="N388" s="219"/>
      <c r="O388" s="216"/>
      <c r="P388" s="216"/>
      <c r="Q388" s="216"/>
      <c r="R388" s="220"/>
      <c r="S388" s="220"/>
      <c r="T388" s="220"/>
      <c r="U388" s="230"/>
      <c r="V388" s="231"/>
      <c r="W388" s="232"/>
      <c r="X388" s="233"/>
      <c r="Y388" s="219"/>
      <c r="Z388" s="219"/>
    </row>
    <row r="389" spans="1:26" ht="15.75" thickBot="1">
      <c r="A389" s="225">
        <v>227</v>
      </c>
      <c r="B389" s="216"/>
      <c r="C389" s="216"/>
      <c r="D389" s="216"/>
      <c r="E389" s="216" t="s">
        <v>1032</v>
      </c>
      <c r="F389" s="226" t="s">
        <v>1033</v>
      </c>
      <c r="G389" s="227"/>
      <c r="H389" s="227"/>
      <c r="I389" s="216"/>
      <c r="J389" s="225">
        <v>489</v>
      </c>
      <c r="K389" s="228">
        <v>4.4328703703703709E-3</v>
      </c>
      <c r="L389" s="225" t="s">
        <v>980</v>
      </c>
      <c r="M389" s="219"/>
      <c r="N389" s="219"/>
      <c r="O389" s="216"/>
      <c r="P389" s="216"/>
      <c r="Q389" s="216"/>
      <c r="R389" s="220"/>
      <c r="S389" s="220"/>
      <c r="T389" s="220"/>
      <c r="U389" s="230"/>
      <c r="V389" s="231"/>
      <c r="W389" s="232"/>
      <c r="X389" s="233"/>
      <c r="Y389" s="219"/>
      <c r="Z389" s="219"/>
    </row>
    <row r="390" spans="1:26" ht="15.75" thickBot="1">
      <c r="A390" s="225">
        <v>228</v>
      </c>
      <c r="B390" s="216"/>
      <c r="C390" s="216"/>
      <c r="D390" s="216"/>
      <c r="E390" s="216" t="s">
        <v>1034</v>
      </c>
      <c r="F390" s="226" t="s">
        <v>1035</v>
      </c>
      <c r="G390" s="227"/>
      <c r="H390" s="227"/>
      <c r="I390" s="216"/>
      <c r="J390" s="225">
        <v>413</v>
      </c>
      <c r="K390" s="228">
        <v>2.6388888888888885E-3</v>
      </c>
      <c r="L390" s="225" t="s">
        <v>980</v>
      </c>
      <c r="M390" s="219"/>
      <c r="N390" s="219"/>
      <c r="O390" s="216"/>
      <c r="P390" s="216"/>
      <c r="Q390" s="216"/>
      <c r="R390" s="220"/>
      <c r="S390" s="220"/>
      <c r="T390" s="220"/>
      <c r="U390" s="230"/>
      <c r="V390" s="231"/>
      <c r="W390" s="232"/>
      <c r="X390" s="233"/>
      <c r="Y390" s="219"/>
      <c r="Z390" s="219"/>
    </row>
    <row r="391" spans="1:26" ht="15.75" thickBot="1">
      <c r="A391" s="225">
        <v>229</v>
      </c>
      <c r="B391" s="216"/>
      <c r="C391" s="216"/>
      <c r="D391" s="216"/>
      <c r="E391" s="216" t="s">
        <v>1036</v>
      </c>
      <c r="F391" s="226" t="s">
        <v>1037</v>
      </c>
      <c r="G391" s="227"/>
      <c r="H391" s="227"/>
      <c r="I391" s="216"/>
      <c r="J391" s="225">
        <v>11000</v>
      </c>
      <c r="K391" s="228">
        <v>3.4409722222222223E-2</v>
      </c>
      <c r="L391" s="225" t="s">
        <v>980</v>
      </c>
      <c r="M391" s="219"/>
      <c r="N391" s="219"/>
      <c r="O391" s="216"/>
      <c r="P391" s="216"/>
      <c r="Q391" s="216"/>
      <c r="R391" s="220"/>
      <c r="S391" s="220"/>
      <c r="T391" s="220"/>
      <c r="U391" s="230"/>
      <c r="V391" s="231"/>
      <c r="W391" s="232"/>
      <c r="X391" s="233"/>
      <c r="Y391" s="219"/>
      <c r="Z391" s="219"/>
    </row>
    <row r="392" spans="1:26" ht="15.75" thickBot="1">
      <c r="A392" s="225">
        <v>230</v>
      </c>
      <c r="B392" s="216"/>
      <c r="C392" s="216"/>
      <c r="D392" s="216"/>
      <c r="E392" s="216" t="s">
        <v>1039</v>
      </c>
      <c r="F392" s="226" t="s">
        <v>1040</v>
      </c>
      <c r="G392" s="227"/>
      <c r="H392" s="227"/>
      <c r="I392" s="216"/>
      <c r="J392" s="225">
        <v>3900</v>
      </c>
      <c r="K392" s="228">
        <v>1.0289351851851852E-2</v>
      </c>
      <c r="L392" s="225" t="s">
        <v>980</v>
      </c>
      <c r="M392" s="219"/>
      <c r="N392" s="219"/>
      <c r="O392" s="216"/>
      <c r="P392" s="216"/>
      <c r="Q392" s="216"/>
      <c r="R392" s="220"/>
      <c r="S392" s="220"/>
      <c r="T392" s="220"/>
      <c r="U392" s="230"/>
      <c r="V392" s="231"/>
      <c r="W392" s="232"/>
      <c r="X392" s="233"/>
      <c r="Y392" s="219"/>
      <c r="Z392" s="219"/>
    </row>
    <row r="393" spans="1:26" ht="15.75" thickBot="1">
      <c r="A393" s="225">
        <v>231</v>
      </c>
      <c r="B393" s="216"/>
      <c r="C393" s="216"/>
      <c r="D393" s="216"/>
      <c r="E393" s="216" t="s">
        <v>1041</v>
      </c>
      <c r="F393" s="226" t="s">
        <v>1042</v>
      </c>
      <c r="G393" s="227"/>
      <c r="H393" s="227"/>
      <c r="I393" s="216"/>
      <c r="J393" s="225">
        <v>2000</v>
      </c>
      <c r="K393" s="228">
        <v>1.136574074074074E-2</v>
      </c>
      <c r="L393" s="225" t="s">
        <v>980</v>
      </c>
      <c r="M393" s="219"/>
      <c r="N393" s="219"/>
      <c r="O393" s="216"/>
      <c r="P393" s="216"/>
      <c r="Q393" s="216"/>
      <c r="R393" s="220"/>
      <c r="S393" s="220"/>
      <c r="T393" s="220"/>
      <c r="U393" s="230"/>
      <c r="V393" s="231"/>
      <c r="W393" s="232"/>
      <c r="X393" s="233"/>
      <c r="Y393" s="219"/>
      <c r="Z393" s="219"/>
    </row>
    <row r="394" spans="1:26" ht="15.75" thickBot="1">
      <c r="A394" s="225">
        <v>232</v>
      </c>
      <c r="B394" s="216"/>
      <c r="C394" s="216"/>
      <c r="D394" s="216"/>
      <c r="E394" s="216" t="s">
        <v>1043</v>
      </c>
      <c r="F394" s="226" t="s">
        <v>1044</v>
      </c>
      <c r="G394" s="227"/>
      <c r="H394" s="227"/>
      <c r="I394" s="216"/>
      <c r="J394" s="225">
        <v>769</v>
      </c>
      <c r="K394" s="228">
        <v>8.3912037037037045E-3</v>
      </c>
      <c r="L394" s="225" t="s">
        <v>980</v>
      </c>
      <c r="M394" s="219"/>
      <c r="N394" s="219"/>
      <c r="O394" s="216"/>
      <c r="P394" s="216"/>
      <c r="Q394" s="216"/>
      <c r="R394" s="220"/>
      <c r="S394" s="220"/>
      <c r="T394" s="220"/>
      <c r="U394" s="230"/>
      <c r="V394" s="231"/>
      <c r="W394" s="232"/>
      <c r="X394" s="233"/>
      <c r="Y394" s="219"/>
      <c r="Z394" s="219"/>
    </row>
    <row r="395" spans="1:26" ht="15.75" thickBot="1">
      <c r="A395" s="225">
        <v>233</v>
      </c>
      <c r="B395" s="216"/>
      <c r="C395" s="216"/>
      <c r="D395" s="216"/>
      <c r="E395" s="216" t="s">
        <v>1045</v>
      </c>
      <c r="F395" s="226" t="s">
        <v>1046</v>
      </c>
      <c r="G395" s="227"/>
      <c r="H395" s="227"/>
      <c r="I395" s="216"/>
      <c r="J395" s="225">
        <v>651</v>
      </c>
      <c r="K395" s="228">
        <v>4.2361111111111106E-3</v>
      </c>
      <c r="L395" s="225" t="s">
        <v>980</v>
      </c>
      <c r="M395" s="219"/>
      <c r="N395" s="219"/>
      <c r="O395" s="216"/>
      <c r="P395" s="216"/>
      <c r="Q395" s="216"/>
      <c r="R395" s="220"/>
      <c r="S395" s="220"/>
      <c r="T395" s="220"/>
      <c r="U395" s="230"/>
      <c r="V395" s="231"/>
      <c r="W395" s="232"/>
      <c r="X395" s="233"/>
      <c r="Y395" s="219"/>
      <c r="Z395" s="219"/>
    </row>
    <row r="396" spans="1:26" ht="15.75" thickBot="1">
      <c r="A396" s="225">
        <v>234</v>
      </c>
      <c r="B396" s="216"/>
      <c r="C396" s="216"/>
      <c r="D396" s="216"/>
      <c r="E396" s="216" t="s">
        <v>1047</v>
      </c>
      <c r="F396" s="226" t="s">
        <v>1048</v>
      </c>
      <c r="G396" s="227"/>
      <c r="H396" s="227"/>
      <c r="I396" s="216"/>
      <c r="J396" s="225">
        <v>957</v>
      </c>
      <c r="K396" s="228">
        <v>2.6504629629629625E-3</v>
      </c>
      <c r="L396" s="225" t="s">
        <v>980</v>
      </c>
      <c r="M396" s="219"/>
      <c r="N396" s="219"/>
      <c r="O396" s="216"/>
      <c r="P396" s="216"/>
      <c r="Q396" s="216"/>
      <c r="R396" s="220"/>
      <c r="S396" s="220"/>
      <c r="T396" s="220"/>
      <c r="U396" s="230"/>
      <c r="V396" s="231"/>
      <c r="W396" s="232"/>
      <c r="X396" s="233"/>
      <c r="Y396" s="219"/>
      <c r="Z396" s="219"/>
    </row>
    <row r="397" spans="1:26" ht="15.75" thickBot="1">
      <c r="A397" s="225">
        <v>235</v>
      </c>
      <c r="B397" s="216"/>
      <c r="C397" s="216"/>
      <c r="D397" s="216"/>
      <c r="E397" s="216" t="s">
        <v>1049</v>
      </c>
      <c r="F397" s="226" t="s">
        <v>1050</v>
      </c>
      <c r="G397" s="227"/>
      <c r="H397" s="227"/>
      <c r="I397" s="216"/>
      <c r="J397" s="225">
        <v>1200</v>
      </c>
      <c r="K397" s="228">
        <v>2.2685185185185182E-3</v>
      </c>
      <c r="L397" s="225" t="s">
        <v>980</v>
      </c>
      <c r="M397" s="219"/>
      <c r="N397" s="219"/>
      <c r="O397" s="216"/>
      <c r="P397" s="216"/>
      <c r="Q397" s="216"/>
      <c r="R397" s="220"/>
      <c r="S397" s="220"/>
      <c r="T397" s="220"/>
      <c r="U397" s="230"/>
      <c r="V397" s="231"/>
      <c r="W397" s="232"/>
      <c r="X397" s="233"/>
      <c r="Y397" s="219"/>
      <c r="Z397" s="219"/>
    </row>
    <row r="398" spans="1:26" ht="15.75" thickBot="1">
      <c r="A398" s="225">
        <v>236</v>
      </c>
      <c r="B398" s="216"/>
      <c r="C398" s="216"/>
      <c r="D398" s="216"/>
      <c r="E398" s="216" t="s">
        <v>1051</v>
      </c>
      <c r="F398" s="226" t="s">
        <v>1052</v>
      </c>
      <c r="G398" s="227"/>
      <c r="H398" s="227"/>
      <c r="I398" s="216"/>
      <c r="J398" s="225">
        <v>895</v>
      </c>
      <c r="K398" s="228">
        <v>3.5532407407407405E-3</v>
      </c>
      <c r="L398" s="225" t="s">
        <v>980</v>
      </c>
      <c r="M398" s="219"/>
      <c r="N398" s="219"/>
      <c r="O398" s="216"/>
      <c r="P398" s="216"/>
      <c r="Q398" s="216"/>
      <c r="R398" s="220"/>
      <c r="S398" s="220"/>
      <c r="T398" s="220"/>
      <c r="U398" s="230"/>
      <c r="V398" s="231"/>
      <c r="W398" s="232"/>
      <c r="X398" s="233"/>
      <c r="Y398" s="219"/>
      <c r="Z398" s="219"/>
    </row>
    <row r="399" spans="1:26" ht="15.75" thickBot="1">
      <c r="A399" s="225">
        <v>237</v>
      </c>
      <c r="B399" s="216"/>
      <c r="C399" s="216"/>
      <c r="D399" s="216"/>
      <c r="E399" s="216" t="s">
        <v>1054</v>
      </c>
      <c r="F399" s="226" t="s">
        <v>1055</v>
      </c>
      <c r="G399" s="227"/>
      <c r="H399" s="227"/>
      <c r="I399" s="216"/>
      <c r="J399" s="225">
        <v>4500</v>
      </c>
      <c r="K399" s="228">
        <v>3.1932870370370368E-2</v>
      </c>
      <c r="L399" s="225" t="s">
        <v>980</v>
      </c>
      <c r="M399" s="219"/>
      <c r="N399" s="219"/>
      <c r="O399" s="216"/>
      <c r="P399" s="216"/>
      <c r="Q399" s="216"/>
      <c r="R399" s="220"/>
      <c r="S399" s="220"/>
      <c r="T399" s="220"/>
      <c r="U399" s="230"/>
      <c r="V399" s="231"/>
      <c r="W399" s="232"/>
      <c r="X399" s="233"/>
      <c r="Y399" s="219"/>
      <c r="Z399" s="219"/>
    </row>
    <row r="400" spans="1:26" ht="15.75" thickBot="1">
      <c r="A400" s="225">
        <v>238</v>
      </c>
      <c r="B400" s="216"/>
      <c r="C400" s="216"/>
      <c r="D400" s="216"/>
      <c r="E400" s="216" t="s">
        <v>1056</v>
      </c>
      <c r="F400" s="226" t="s">
        <v>1057</v>
      </c>
      <c r="G400" s="227"/>
      <c r="H400" s="227"/>
      <c r="I400" s="216"/>
      <c r="J400" s="225">
        <v>1600</v>
      </c>
      <c r="K400" s="228">
        <v>2.627314814814815E-3</v>
      </c>
      <c r="L400" s="225" t="s">
        <v>980</v>
      </c>
      <c r="M400" s="219"/>
      <c r="N400" s="219"/>
      <c r="O400" s="216"/>
      <c r="P400" s="216"/>
      <c r="Q400" s="216"/>
      <c r="R400" s="220"/>
      <c r="S400" s="220"/>
      <c r="T400" s="220"/>
      <c r="U400" s="230"/>
      <c r="V400" s="231"/>
      <c r="W400" s="232"/>
      <c r="X400" s="233"/>
      <c r="Y400" s="219"/>
      <c r="Z400" s="219"/>
    </row>
    <row r="401" spans="1:26" ht="15.75" thickBot="1">
      <c r="A401" s="225">
        <v>239</v>
      </c>
      <c r="B401" s="216"/>
      <c r="C401" s="216"/>
      <c r="D401" s="216"/>
      <c r="E401" s="216" t="s">
        <v>1058</v>
      </c>
      <c r="F401" s="226" t="s">
        <v>1059</v>
      </c>
      <c r="G401" s="227"/>
      <c r="H401" s="227"/>
      <c r="I401" s="216"/>
      <c r="J401" s="225">
        <v>825</v>
      </c>
      <c r="K401" s="228">
        <v>2.2222222222222222E-3</v>
      </c>
      <c r="L401" s="225" t="s">
        <v>980</v>
      </c>
      <c r="M401" s="219"/>
      <c r="N401" s="219"/>
      <c r="O401" s="216"/>
      <c r="P401" s="216"/>
      <c r="Q401" s="216"/>
      <c r="R401" s="220"/>
      <c r="S401" s="220"/>
      <c r="T401" s="220"/>
      <c r="U401" s="230"/>
      <c r="V401" s="231"/>
      <c r="W401" s="232"/>
      <c r="X401" s="233"/>
      <c r="Y401" s="219"/>
      <c r="Z401" s="219"/>
    </row>
    <row r="402" spans="1:26" ht="15.75" thickBot="1">
      <c r="A402" s="225">
        <v>240</v>
      </c>
      <c r="B402" s="216"/>
      <c r="C402" s="216"/>
      <c r="D402" s="216"/>
      <c r="E402" s="216" t="s">
        <v>1060</v>
      </c>
      <c r="F402" s="226" t="s">
        <v>1061</v>
      </c>
      <c r="G402" s="227"/>
      <c r="H402" s="227"/>
      <c r="I402" s="216"/>
      <c r="J402" s="225">
        <v>9900</v>
      </c>
      <c r="K402" s="228">
        <v>2.1689814814814815E-2</v>
      </c>
      <c r="L402" s="225" t="s">
        <v>980</v>
      </c>
      <c r="M402" s="219"/>
      <c r="N402" s="219"/>
      <c r="O402" s="216"/>
      <c r="P402" s="216"/>
      <c r="Q402" s="216"/>
      <c r="R402" s="220"/>
      <c r="S402" s="220"/>
      <c r="T402" s="220"/>
      <c r="U402" s="230"/>
      <c r="V402" s="231"/>
      <c r="W402" s="232"/>
      <c r="X402" s="233"/>
      <c r="Y402" s="219"/>
      <c r="Z402" s="219"/>
    </row>
    <row r="403" spans="1:26" ht="15.75" thickBot="1">
      <c r="A403" s="225">
        <v>241</v>
      </c>
      <c r="B403" s="216"/>
      <c r="C403" s="216"/>
      <c r="D403" s="216"/>
      <c r="E403" s="216" t="s">
        <v>1062</v>
      </c>
      <c r="F403" s="226" t="s">
        <v>1063</v>
      </c>
      <c r="G403" s="227"/>
      <c r="H403" s="227"/>
      <c r="I403" s="216"/>
      <c r="J403" s="225">
        <v>906</v>
      </c>
      <c r="K403" s="228">
        <v>1.3310185185185185E-3</v>
      </c>
      <c r="L403" s="225" t="s">
        <v>980</v>
      </c>
      <c r="M403" s="219"/>
      <c r="N403" s="219"/>
      <c r="O403" s="216"/>
      <c r="P403" s="216"/>
      <c r="Q403" s="216"/>
      <c r="R403" s="220"/>
      <c r="S403" s="220"/>
      <c r="T403" s="220"/>
      <c r="U403" s="230"/>
      <c r="V403" s="231"/>
      <c r="W403" s="232"/>
      <c r="X403" s="233"/>
      <c r="Y403" s="219"/>
      <c r="Z403" s="219"/>
    </row>
    <row r="404" spans="1:26" ht="15.75" thickBot="1">
      <c r="A404" s="225">
        <v>242</v>
      </c>
      <c r="B404" s="216"/>
      <c r="C404" s="216"/>
      <c r="D404" s="216"/>
      <c r="E404" s="216" t="s">
        <v>1064</v>
      </c>
      <c r="F404" s="226" t="s">
        <v>1065</v>
      </c>
      <c r="G404" s="227"/>
      <c r="H404" s="227"/>
      <c r="I404" s="216"/>
      <c r="J404" s="225">
        <v>861</v>
      </c>
      <c r="K404" s="228">
        <v>1.4699074074074074E-3</v>
      </c>
      <c r="L404" s="225" t="s">
        <v>980</v>
      </c>
      <c r="M404" s="219"/>
      <c r="N404" s="219"/>
      <c r="O404" s="216"/>
      <c r="P404" s="216"/>
      <c r="Q404" s="216"/>
      <c r="R404" s="220"/>
      <c r="S404" s="220"/>
      <c r="T404" s="220"/>
      <c r="U404" s="230"/>
      <c r="V404" s="231"/>
      <c r="W404" s="232"/>
      <c r="X404" s="233"/>
      <c r="Y404" s="219"/>
      <c r="Z404" s="219"/>
    </row>
    <row r="405" spans="1:26" ht="15.75" thickBot="1">
      <c r="A405" s="225">
        <v>243</v>
      </c>
      <c r="B405" s="216"/>
      <c r="C405" s="216"/>
      <c r="D405" s="216"/>
      <c r="E405" s="216" t="s">
        <v>1066</v>
      </c>
      <c r="F405" s="226" t="s">
        <v>1067</v>
      </c>
      <c r="G405" s="227"/>
      <c r="H405" s="227"/>
      <c r="I405" s="216"/>
      <c r="J405" s="225">
        <v>1200</v>
      </c>
      <c r="K405" s="228">
        <v>2.8009259259259259E-3</v>
      </c>
      <c r="L405" s="225" t="s">
        <v>980</v>
      </c>
      <c r="M405" s="219"/>
      <c r="N405" s="219"/>
      <c r="O405" s="216"/>
      <c r="P405" s="216"/>
      <c r="Q405" s="216"/>
      <c r="R405" s="220"/>
      <c r="S405" s="220"/>
      <c r="T405" s="220"/>
      <c r="U405" s="230"/>
      <c r="V405" s="231"/>
      <c r="W405" s="232"/>
      <c r="X405" s="233"/>
      <c r="Y405" s="219"/>
      <c r="Z405" s="219"/>
    </row>
    <row r="406" spans="1:26" ht="15.75" thickBot="1">
      <c r="A406" s="225">
        <v>244</v>
      </c>
      <c r="B406" s="216"/>
      <c r="C406" s="216"/>
      <c r="D406" s="216"/>
      <c r="E406" s="216" t="s">
        <v>1068</v>
      </c>
      <c r="F406" s="226" t="s">
        <v>1069</v>
      </c>
      <c r="G406" s="227"/>
      <c r="H406" s="227"/>
      <c r="I406" s="216"/>
      <c r="J406" s="225">
        <v>4000</v>
      </c>
      <c r="K406" s="228">
        <v>7.1874999999999994E-3</v>
      </c>
      <c r="L406" s="225" t="s">
        <v>980</v>
      </c>
      <c r="M406" s="219"/>
      <c r="N406" s="219"/>
      <c r="O406" s="216"/>
      <c r="P406" s="216"/>
      <c r="Q406" s="216"/>
      <c r="R406" s="220"/>
      <c r="S406" s="220"/>
      <c r="T406" s="220"/>
      <c r="U406" s="230"/>
      <c r="V406" s="231"/>
      <c r="W406" s="232"/>
      <c r="X406" s="233"/>
      <c r="Y406" s="219"/>
      <c r="Z406" s="219"/>
    </row>
    <row r="407" spans="1:26" ht="15.75" thickBot="1">
      <c r="A407" s="225">
        <v>245</v>
      </c>
      <c r="B407" s="216"/>
      <c r="C407" s="216"/>
      <c r="D407" s="216"/>
      <c r="E407" s="216" t="s">
        <v>1070</v>
      </c>
      <c r="F407" s="226" t="s">
        <v>1071</v>
      </c>
      <c r="G407" s="227"/>
      <c r="H407" s="227"/>
      <c r="I407" s="216"/>
      <c r="J407" s="225">
        <v>11000</v>
      </c>
      <c r="K407" s="228">
        <v>3.3321759259259259E-2</v>
      </c>
      <c r="L407" s="225" t="s">
        <v>980</v>
      </c>
      <c r="M407" s="219"/>
      <c r="N407" s="219"/>
      <c r="O407" s="216"/>
      <c r="P407" s="216"/>
      <c r="Q407" s="216"/>
      <c r="R407" s="220"/>
      <c r="S407" s="220"/>
      <c r="T407" s="220"/>
      <c r="U407" s="230"/>
      <c r="V407" s="231"/>
      <c r="W407" s="232"/>
      <c r="X407" s="233"/>
      <c r="Y407" s="219"/>
      <c r="Z407" s="219"/>
    </row>
    <row r="408" spans="1:26" ht="15.75" thickBot="1">
      <c r="A408" s="225">
        <v>246</v>
      </c>
      <c r="B408" s="216"/>
      <c r="C408" s="216"/>
      <c r="D408" s="216"/>
      <c r="E408" s="216" t="s">
        <v>1072</v>
      </c>
      <c r="F408" s="226" t="s">
        <v>1073</v>
      </c>
      <c r="G408" s="227"/>
      <c r="H408" s="227"/>
      <c r="I408" s="216"/>
      <c r="J408" s="225">
        <v>2400</v>
      </c>
      <c r="K408" s="228">
        <v>3.6226851851851854E-3</v>
      </c>
      <c r="L408" s="225" t="s">
        <v>980</v>
      </c>
      <c r="M408" s="219"/>
      <c r="N408" s="219"/>
      <c r="O408" s="216"/>
      <c r="P408" s="216"/>
      <c r="Q408" s="216"/>
      <c r="R408" s="220"/>
      <c r="S408" s="220"/>
      <c r="T408" s="220"/>
      <c r="U408" s="230"/>
      <c r="V408" s="231"/>
      <c r="W408" s="232"/>
      <c r="X408" s="233"/>
      <c r="Y408" s="219"/>
      <c r="Z408" s="219"/>
    </row>
    <row r="409" spans="1:26" ht="15.75" thickBot="1">
      <c r="A409" s="225">
        <v>247</v>
      </c>
      <c r="B409" s="216"/>
      <c r="C409" s="216"/>
      <c r="D409" s="216"/>
      <c r="E409" s="216" t="s">
        <v>1074</v>
      </c>
      <c r="F409" s="226" t="s">
        <v>1075</v>
      </c>
      <c r="G409" s="227"/>
      <c r="H409" s="227"/>
      <c r="I409" s="216"/>
      <c r="J409" s="225">
        <v>329</v>
      </c>
      <c r="K409" s="228">
        <v>1.7592592592592592E-3</v>
      </c>
      <c r="L409" s="225" t="s">
        <v>980</v>
      </c>
      <c r="M409" s="219"/>
      <c r="N409" s="219"/>
      <c r="O409" s="216"/>
      <c r="P409" s="216"/>
      <c r="Q409" s="216"/>
      <c r="R409" s="220"/>
      <c r="S409" s="220"/>
      <c r="T409" s="220"/>
      <c r="U409" s="230"/>
      <c r="V409" s="231"/>
      <c r="W409" s="232"/>
      <c r="X409" s="233"/>
      <c r="Y409" s="219"/>
      <c r="Z409" s="219"/>
    </row>
    <row r="410" spans="1:26" ht="15.75" thickBot="1">
      <c r="A410" s="225">
        <v>248</v>
      </c>
      <c r="B410" s="216"/>
      <c r="C410" s="216"/>
      <c r="D410" s="216"/>
      <c r="E410" s="216" t="s">
        <v>1076</v>
      </c>
      <c r="F410" s="226" t="s">
        <v>1077</v>
      </c>
      <c r="G410" s="227"/>
      <c r="H410" s="227"/>
      <c r="I410" s="216"/>
      <c r="J410" s="225">
        <v>6200</v>
      </c>
      <c r="K410" s="228">
        <v>2.4016203703703706E-2</v>
      </c>
      <c r="L410" s="225" t="s">
        <v>980</v>
      </c>
      <c r="M410" s="219"/>
      <c r="N410" s="219"/>
      <c r="O410" s="216"/>
      <c r="P410" s="216"/>
      <c r="Q410" s="216"/>
      <c r="R410" s="220"/>
      <c r="S410" s="220"/>
      <c r="T410" s="220"/>
      <c r="U410" s="230"/>
      <c r="V410" s="231"/>
      <c r="W410" s="232"/>
      <c r="X410" s="233"/>
      <c r="Y410" s="219"/>
      <c r="Z410" s="219"/>
    </row>
    <row r="411" spans="1:26" ht="15.75" thickBot="1">
      <c r="A411" s="225">
        <v>249</v>
      </c>
      <c r="B411" s="216"/>
      <c r="C411" s="216"/>
      <c r="D411" s="216"/>
      <c r="E411" s="216" t="s">
        <v>1078</v>
      </c>
      <c r="F411" s="226" t="s">
        <v>1079</v>
      </c>
      <c r="G411" s="227"/>
      <c r="H411" s="227"/>
      <c r="I411" s="216"/>
      <c r="J411" s="225">
        <v>8700</v>
      </c>
      <c r="K411" s="228">
        <v>2.3807870370370368E-2</v>
      </c>
      <c r="L411" s="225" t="s">
        <v>980</v>
      </c>
      <c r="M411" s="219"/>
      <c r="N411" s="219"/>
      <c r="O411" s="216"/>
      <c r="P411" s="216"/>
      <c r="Q411" s="216"/>
      <c r="R411" s="220"/>
      <c r="S411" s="220"/>
      <c r="T411" s="220"/>
      <c r="U411" s="230"/>
      <c r="V411" s="231"/>
      <c r="W411" s="232"/>
      <c r="X411" s="233"/>
      <c r="Y411" s="219"/>
      <c r="Z411" s="219"/>
    </row>
    <row r="412" spans="1:26" ht="15.75" thickBot="1">
      <c r="A412" s="225">
        <v>250</v>
      </c>
      <c r="B412" s="216"/>
      <c r="C412" s="216"/>
      <c r="D412" s="216"/>
      <c r="E412" s="216" t="s">
        <v>1080</v>
      </c>
      <c r="F412" s="226" t="s">
        <v>1081</v>
      </c>
      <c r="G412" s="227"/>
      <c r="H412" s="227"/>
      <c r="I412" s="216"/>
      <c r="J412" s="225">
        <v>31000</v>
      </c>
      <c r="K412" s="228">
        <v>3.9756944444444449E-2</v>
      </c>
      <c r="L412" s="225" t="s">
        <v>1082</v>
      </c>
      <c r="M412" s="219"/>
      <c r="N412" s="219"/>
      <c r="O412" s="216"/>
      <c r="P412" s="216"/>
      <c r="Q412" s="216"/>
      <c r="R412" s="220"/>
      <c r="S412" s="220"/>
      <c r="T412" s="220"/>
      <c r="U412" s="230"/>
      <c r="V412" s="231"/>
      <c r="W412" s="232"/>
      <c r="X412" s="233"/>
      <c r="Y412" s="219"/>
      <c r="Z412" s="219"/>
    </row>
    <row r="413" spans="1:26" ht="15.75" thickBot="1">
      <c r="A413" s="225">
        <v>251</v>
      </c>
      <c r="B413" s="216"/>
      <c r="C413" s="216"/>
      <c r="D413" s="216"/>
      <c r="E413" s="216" t="s">
        <v>1083</v>
      </c>
      <c r="F413" s="226" t="s">
        <v>1084</v>
      </c>
      <c r="G413" s="227"/>
      <c r="H413" s="227"/>
      <c r="I413" s="216"/>
      <c r="J413" s="225">
        <v>20000</v>
      </c>
      <c r="K413" s="228">
        <v>7.3252314814814812E-2</v>
      </c>
      <c r="L413" s="225" t="s">
        <v>1082</v>
      </c>
      <c r="M413" s="219"/>
      <c r="N413" s="219"/>
      <c r="O413" s="216"/>
      <c r="P413" s="216"/>
      <c r="Q413" s="216"/>
      <c r="R413" s="220"/>
      <c r="S413" s="220"/>
      <c r="T413" s="220"/>
      <c r="U413" s="230"/>
      <c r="V413" s="231"/>
      <c r="W413" s="232"/>
      <c r="X413" s="233"/>
      <c r="Y413" s="219"/>
      <c r="Z413" s="219"/>
    </row>
    <row r="414" spans="1:26" ht="15.75" thickBot="1">
      <c r="A414" s="225">
        <v>252</v>
      </c>
      <c r="B414" s="216"/>
      <c r="C414" s="216"/>
      <c r="D414" s="216"/>
      <c r="E414" s="216" t="s">
        <v>1085</v>
      </c>
      <c r="F414" s="226" t="s">
        <v>1086</v>
      </c>
      <c r="G414" s="227"/>
      <c r="H414" s="227"/>
      <c r="I414" s="216"/>
      <c r="J414" s="225">
        <v>7900</v>
      </c>
      <c r="K414" s="228">
        <v>2.2789351851851852E-2</v>
      </c>
      <c r="L414" s="225" t="s">
        <v>1082</v>
      </c>
      <c r="M414" s="219"/>
      <c r="N414" s="219"/>
      <c r="O414" s="216"/>
      <c r="P414" s="216"/>
      <c r="Q414" s="216"/>
      <c r="R414" s="220"/>
      <c r="S414" s="220"/>
      <c r="T414" s="220"/>
      <c r="U414" s="230"/>
      <c r="V414" s="231"/>
      <c r="W414" s="232"/>
      <c r="X414" s="233"/>
      <c r="Y414" s="219"/>
      <c r="Z414" s="219"/>
    </row>
    <row r="415" spans="1:26" ht="15.75" thickBot="1">
      <c r="A415" s="225">
        <v>253</v>
      </c>
      <c r="B415" s="216"/>
      <c r="C415" s="216"/>
      <c r="D415" s="216"/>
      <c r="E415" s="216" t="s">
        <v>1087</v>
      </c>
      <c r="F415" s="226" t="s">
        <v>1088</v>
      </c>
      <c r="G415" s="227"/>
      <c r="H415" s="227"/>
      <c r="I415" s="216"/>
      <c r="J415" s="225">
        <v>2000</v>
      </c>
      <c r="K415" s="228">
        <v>7.0717592592592594E-3</v>
      </c>
      <c r="L415" s="225" t="s">
        <v>1082</v>
      </c>
      <c r="M415" s="219"/>
      <c r="N415" s="219"/>
      <c r="O415" s="216"/>
      <c r="P415" s="216"/>
      <c r="Q415" s="216"/>
      <c r="R415" s="220"/>
      <c r="S415" s="220"/>
      <c r="T415" s="220"/>
      <c r="U415" s="230"/>
      <c r="V415" s="231"/>
      <c r="W415" s="232"/>
      <c r="X415" s="233"/>
      <c r="Y415" s="219"/>
      <c r="Z415" s="219"/>
    </row>
    <row r="416" spans="1:26" ht="15.75" thickBot="1">
      <c r="A416" s="225">
        <v>254</v>
      </c>
      <c r="B416" s="216"/>
      <c r="C416" s="216"/>
      <c r="D416" s="216"/>
      <c r="E416" s="216" t="s">
        <v>1089</v>
      </c>
      <c r="F416" s="226" t="s">
        <v>1090</v>
      </c>
      <c r="G416" s="227"/>
      <c r="H416" s="227"/>
      <c r="I416" s="216"/>
      <c r="J416" s="225">
        <v>1500</v>
      </c>
      <c r="K416" s="228">
        <v>5.0578703703703706E-3</v>
      </c>
      <c r="L416" s="225" t="s">
        <v>1082</v>
      </c>
      <c r="M416" s="219"/>
      <c r="N416" s="219"/>
      <c r="O416" s="216"/>
      <c r="P416" s="216"/>
      <c r="Q416" s="216"/>
      <c r="R416" s="220"/>
      <c r="S416" s="220"/>
      <c r="T416" s="220"/>
      <c r="U416" s="230"/>
      <c r="V416" s="231"/>
      <c r="W416" s="232"/>
      <c r="X416" s="233"/>
      <c r="Y416" s="219"/>
      <c r="Z416" s="219"/>
    </row>
    <row r="417" spans="1:26" ht="15.75" thickBot="1">
      <c r="A417" s="225">
        <v>255</v>
      </c>
      <c r="B417" s="216"/>
      <c r="C417" s="216"/>
      <c r="D417" s="216"/>
      <c r="E417" s="216" t="s">
        <v>1091</v>
      </c>
      <c r="F417" s="226" t="s">
        <v>1092</v>
      </c>
      <c r="G417" s="227"/>
      <c r="H417" s="227"/>
      <c r="I417" s="216"/>
      <c r="J417" s="225">
        <v>2300</v>
      </c>
      <c r="K417" s="228">
        <v>0.02</v>
      </c>
      <c r="L417" s="225" t="s">
        <v>1082</v>
      </c>
      <c r="M417" s="219"/>
      <c r="N417" s="219"/>
      <c r="O417" s="216"/>
      <c r="P417" s="216"/>
      <c r="Q417" s="216"/>
      <c r="R417" s="220"/>
      <c r="S417" s="220"/>
      <c r="T417" s="220"/>
      <c r="U417" s="230"/>
      <c r="V417" s="231"/>
      <c r="W417" s="232"/>
      <c r="X417" s="233"/>
      <c r="Y417" s="219"/>
      <c r="Z417" s="219"/>
    </row>
    <row r="418" spans="1:26" ht="15.75" thickBot="1">
      <c r="A418" s="225">
        <v>256</v>
      </c>
      <c r="B418" s="216"/>
      <c r="C418" s="216"/>
      <c r="D418" s="216"/>
      <c r="E418" s="216" t="s">
        <v>1093</v>
      </c>
      <c r="F418" s="226" t="s">
        <v>1094</v>
      </c>
      <c r="G418" s="227"/>
      <c r="H418" s="227"/>
      <c r="I418" s="216"/>
      <c r="J418" s="225">
        <v>3800</v>
      </c>
      <c r="K418" s="228">
        <v>2.2337962962962967E-3</v>
      </c>
      <c r="L418" s="225" t="s">
        <v>1082</v>
      </c>
      <c r="M418" s="219"/>
      <c r="N418" s="219"/>
      <c r="O418" s="216"/>
      <c r="P418" s="216"/>
      <c r="Q418" s="216"/>
      <c r="R418" s="220"/>
      <c r="S418" s="220"/>
      <c r="T418" s="220"/>
      <c r="U418" s="230"/>
      <c r="V418" s="231"/>
      <c r="W418" s="232"/>
      <c r="X418" s="233"/>
      <c r="Y418" s="219"/>
      <c r="Z418" s="219"/>
    </row>
    <row r="419" spans="1:26" ht="15.75" thickBot="1">
      <c r="A419" s="225">
        <v>257</v>
      </c>
      <c r="B419" s="216"/>
      <c r="C419" s="216"/>
      <c r="D419" s="216"/>
      <c r="E419" s="216" t="s">
        <v>1095</v>
      </c>
      <c r="F419" s="226" t="s">
        <v>1096</v>
      </c>
      <c r="G419" s="227"/>
      <c r="H419" s="227"/>
      <c r="I419" s="216"/>
      <c r="J419" s="225">
        <v>1400</v>
      </c>
      <c r="K419" s="228">
        <v>1.9456018518518518E-2</v>
      </c>
      <c r="L419" s="225" t="s">
        <v>1082</v>
      </c>
      <c r="M419" s="219"/>
      <c r="N419" s="219"/>
      <c r="O419" s="216"/>
      <c r="P419" s="216"/>
      <c r="Q419" s="216"/>
      <c r="R419" s="220"/>
      <c r="S419" s="220"/>
      <c r="T419" s="220"/>
      <c r="U419" s="230"/>
      <c r="V419" s="231"/>
      <c r="W419" s="232"/>
      <c r="X419" s="233"/>
      <c r="Y419" s="219"/>
      <c r="Z419" s="219"/>
    </row>
    <row r="420" spans="1:26" ht="15.75" thickBot="1">
      <c r="A420" s="225">
        <v>258</v>
      </c>
      <c r="B420" s="216"/>
      <c r="C420" s="216"/>
      <c r="D420" s="216"/>
      <c r="E420" s="216" t="s">
        <v>1097</v>
      </c>
      <c r="F420" s="226" t="s">
        <v>1098</v>
      </c>
      <c r="G420" s="227"/>
      <c r="H420" s="227"/>
      <c r="I420" s="216"/>
      <c r="J420" s="225">
        <v>6900</v>
      </c>
      <c r="K420" s="228">
        <v>9.2592592592592605E-3</v>
      </c>
      <c r="L420" s="225" t="s">
        <v>1082</v>
      </c>
      <c r="M420" s="219"/>
      <c r="N420" s="219"/>
      <c r="O420" s="216"/>
      <c r="P420" s="216"/>
      <c r="Q420" s="216"/>
      <c r="R420" s="220"/>
      <c r="S420" s="220"/>
      <c r="T420" s="220"/>
      <c r="U420" s="230"/>
      <c r="V420" s="231"/>
      <c r="W420" s="232"/>
      <c r="X420" s="233"/>
      <c r="Y420" s="219"/>
      <c r="Z420" s="219"/>
    </row>
    <row r="421" spans="1:26" ht="15.75" thickBot="1">
      <c r="A421" s="225">
        <v>259</v>
      </c>
      <c r="B421" s="216"/>
      <c r="C421" s="216"/>
      <c r="D421" s="216"/>
      <c r="E421" s="216" t="s">
        <v>1099</v>
      </c>
      <c r="F421" s="226" t="s">
        <v>1100</v>
      </c>
      <c r="G421" s="227"/>
      <c r="H421" s="227"/>
      <c r="I421" s="216"/>
      <c r="J421" s="225">
        <v>29000</v>
      </c>
      <c r="K421" s="228">
        <v>8.8541666666666664E-3</v>
      </c>
      <c r="L421" s="225" t="s">
        <v>1082</v>
      </c>
      <c r="M421" s="219"/>
      <c r="N421" s="219"/>
      <c r="O421" s="216"/>
      <c r="P421" s="216"/>
      <c r="Q421" s="216"/>
      <c r="R421" s="220"/>
      <c r="S421" s="220"/>
      <c r="T421" s="220"/>
      <c r="U421" s="230"/>
      <c r="V421" s="231"/>
      <c r="W421" s="232"/>
      <c r="X421" s="233"/>
      <c r="Y421" s="219"/>
      <c r="Z421" s="219"/>
    </row>
    <row r="422" spans="1:26" ht="15.75" thickBot="1">
      <c r="A422" s="225">
        <v>260</v>
      </c>
      <c r="B422" s="216"/>
      <c r="C422" s="216"/>
      <c r="D422" s="216"/>
      <c r="E422" s="216" t="s">
        <v>1101</v>
      </c>
      <c r="F422" s="226" t="s">
        <v>1102</v>
      </c>
      <c r="G422" s="227"/>
      <c r="H422" s="227"/>
      <c r="I422" s="216"/>
      <c r="J422" s="225">
        <v>2600</v>
      </c>
      <c r="K422" s="228">
        <v>3.9236111111111112E-3</v>
      </c>
      <c r="L422" s="225" t="s">
        <v>1082</v>
      </c>
      <c r="M422" s="219"/>
      <c r="N422" s="219"/>
      <c r="O422" s="216"/>
      <c r="P422" s="216"/>
      <c r="Q422" s="216"/>
      <c r="R422" s="220"/>
      <c r="S422" s="220"/>
      <c r="T422" s="220"/>
      <c r="U422" s="230"/>
      <c r="V422" s="231"/>
      <c r="W422" s="232"/>
      <c r="X422" s="233"/>
      <c r="Y422" s="219"/>
      <c r="Z422" s="219"/>
    </row>
    <row r="423" spans="1:26" ht="15.75" thickBot="1">
      <c r="A423" s="225">
        <v>261</v>
      </c>
      <c r="B423" s="216"/>
      <c r="C423" s="216"/>
      <c r="D423" s="216"/>
      <c r="E423" s="216" t="s">
        <v>1103</v>
      </c>
      <c r="F423" s="226" t="s">
        <v>1104</v>
      </c>
      <c r="G423" s="227"/>
      <c r="H423" s="227"/>
      <c r="I423" s="216"/>
      <c r="J423" s="225">
        <v>1000</v>
      </c>
      <c r="K423" s="228">
        <v>3.1249999999999997E-3</v>
      </c>
      <c r="L423" s="225" t="s">
        <v>1082</v>
      </c>
      <c r="M423" s="219"/>
      <c r="N423" s="219"/>
      <c r="O423" s="216"/>
      <c r="P423" s="216"/>
      <c r="Q423" s="216"/>
      <c r="R423" s="220"/>
      <c r="S423" s="220"/>
      <c r="T423" s="220"/>
      <c r="U423" s="230"/>
      <c r="V423" s="231"/>
      <c r="W423" s="232"/>
      <c r="X423" s="233"/>
      <c r="Y423" s="219"/>
      <c r="Z423" s="219"/>
    </row>
    <row r="424" spans="1:26" ht="15.75" thickBot="1">
      <c r="A424" s="225">
        <v>262</v>
      </c>
      <c r="B424" s="216"/>
      <c r="C424" s="216"/>
      <c r="D424" s="216"/>
      <c r="E424" s="216" t="s">
        <v>1105</v>
      </c>
      <c r="F424" s="226" t="s">
        <v>1106</v>
      </c>
      <c r="G424" s="227"/>
      <c r="H424" s="227"/>
      <c r="I424" s="216"/>
      <c r="J424" s="225">
        <v>5000</v>
      </c>
      <c r="K424" s="228">
        <v>1.7476851851851851E-2</v>
      </c>
      <c r="L424" s="225" t="s">
        <v>1082</v>
      </c>
      <c r="M424" s="219"/>
      <c r="N424" s="219"/>
      <c r="O424" s="216"/>
      <c r="P424" s="216"/>
      <c r="Q424" s="216"/>
      <c r="R424" s="220"/>
      <c r="S424" s="220"/>
      <c r="T424" s="220"/>
      <c r="U424" s="230"/>
      <c r="V424" s="231"/>
      <c r="W424" s="232"/>
      <c r="X424" s="233"/>
      <c r="Y424" s="219"/>
      <c r="Z424" s="219"/>
    </row>
    <row r="425" spans="1:26" ht="15.75" thickBot="1">
      <c r="A425" s="225">
        <v>263</v>
      </c>
      <c r="B425" s="216"/>
      <c r="C425" s="216"/>
      <c r="D425" s="216"/>
      <c r="E425" s="216" t="s">
        <v>1107</v>
      </c>
      <c r="F425" s="226" t="s">
        <v>1108</v>
      </c>
      <c r="G425" s="227"/>
      <c r="H425" s="227"/>
      <c r="I425" s="216"/>
      <c r="J425" s="225">
        <v>4500</v>
      </c>
      <c r="K425" s="228">
        <v>1.9560185185185184E-3</v>
      </c>
      <c r="L425" s="225" t="s">
        <v>1082</v>
      </c>
      <c r="M425" s="219"/>
      <c r="N425" s="219"/>
      <c r="O425" s="216"/>
      <c r="P425" s="216"/>
      <c r="Q425" s="216"/>
      <c r="R425" s="220"/>
      <c r="S425" s="220"/>
      <c r="T425" s="220"/>
      <c r="U425" s="230"/>
      <c r="V425" s="231"/>
      <c r="W425" s="232"/>
      <c r="X425" s="233"/>
      <c r="Y425" s="219"/>
      <c r="Z425" s="219"/>
    </row>
    <row r="426" spans="1:26" ht="15.75" thickBot="1">
      <c r="A426" s="225">
        <v>264</v>
      </c>
      <c r="B426" s="216"/>
      <c r="C426" s="216"/>
      <c r="D426" s="216"/>
      <c r="E426" s="216" t="s">
        <v>1109</v>
      </c>
      <c r="F426" s="226" t="s">
        <v>1110</v>
      </c>
      <c r="G426" s="227"/>
      <c r="H426" s="227"/>
      <c r="I426" s="216"/>
      <c r="J426" s="225">
        <v>1400</v>
      </c>
      <c r="K426" s="228">
        <v>4.1319444444444442E-3</v>
      </c>
      <c r="L426" s="225" t="s">
        <v>1082</v>
      </c>
      <c r="M426" s="219"/>
      <c r="N426" s="219"/>
      <c r="O426" s="216"/>
      <c r="P426" s="216"/>
      <c r="Q426" s="216"/>
      <c r="R426" s="220"/>
      <c r="S426" s="220"/>
      <c r="T426" s="220"/>
      <c r="U426" s="230"/>
      <c r="V426" s="231"/>
      <c r="W426" s="232"/>
      <c r="X426" s="233"/>
      <c r="Y426" s="219"/>
      <c r="Z426" s="219"/>
    </row>
    <row r="427" spans="1:26" ht="15.75" thickBot="1">
      <c r="A427" s="225">
        <v>265</v>
      </c>
      <c r="B427" s="216"/>
      <c r="C427" s="216"/>
      <c r="D427" s="216"/>
      <c r="E427" s="216" t="s">
        <v>1111</v>
      </c>
      <c r="F427" s="226" t="s">
        <v>1112</v>
      </c>
      <c r="G427" s="227"/>
      <c r="H427" s="227"/>
      <c r="I427" s="216"/>
      <c r="J427" s="225">
        <v>6800</v>
      </c>
      <c r="K427" s="228">
        <v>3.6122685185185181E-2</v>
      </c>
      <c r="L427" s="225" t="s">
        <v>1082</v>
      </c>
      <c r="M427" s="219"/>
      <c r="N427" s="219"/>
      <c r="O427" s="216"/>
      <c r="P427" s="216"/>
      <c r="Q427" s="216"/>
      <c r="R427" s="220"/>
      <c r="S427" s="220"/>
      <c r="T427" s="220"/>
      <c r="U427" s="230"/>
      <c r="V427" s="231"/>
      <c r="W427" s="232"/>
      <c r="X427" s="233"/>
      <c r="Y427" s="219"/>
      <c r="Z427" s="219"/>
    </row>
    <row r="428" spans="1:26" ht="15.75" thickBot="1">
      <c r="A428" s="225">
        <v>266</v>
      </c>
      <c r="B428" s="216"/>
      <c r="C428" s="216"/>
      <c r="D428" s="216"/>
      <c r="E428" s="216" t="s">
        <v>1114</v>
      </c>
      <c r="F428" s="226" t="s">
        <v>1115</v>
      </c>
      <c r="G428" s="227"/>
      <c r="H428" s="227"/>
      <c r="I428" s="216"/>
      <c r="J428" s="225">
        <v>3200</v>
      </c>
      <c r="K428" s="228">
        <v>2.8125000000000001E-2</v>
      </c>
      <c r="L428" s="225" t="s">
        <v>1082</v>
      </c>
      <c r="M428" s="219"/>
      <c r="N428" s="219"/>
      <c r="O428" s="216"/>
      <c r="P428" s="216"/>
      <c r="Q428" s="216"/>
      <c r="R428" s="220"/>
      <c r="S428" s="220"/>
      <c r="T428" s="220"/>
      <c r="U428" s="230"/>
      <c r="V428" s="231"/>
      <c r="W428" s="232"/>
      <c r="X428" s="233"/>
      <c r="Y428" s="219"/>
      <c r="Z428" s="219"/>
    </row>
    <row r="429" spans="1:26" ht="15.75" thickBot="1">
      <c r="A429" s="225">
        <v>267</v>
      </c>
      <c r="B429" s="216"/>
      <c r="C429" s="216"/>
      <c r="D429" s="216"/>
      <c r="E429" s="216" t="s">
        <v>1117</v>
      </c>
      <c r="F429" s="226" t="s">
        <v>1118</v>
      </c>
      <c r="G429" s="227"/>
      <c r="H429" s="227"/>
      <c r="I429" s="216"/>
      <c r="J429" s="225">
        <v>4400</v>
      </c>
      <c r="K429" s="228">
        <v>3.3101851851851848E-2</v>
      </c>
      <c r="L429" s="225" t="s">
        <v>1082</v>
      </c>
      <c r="M429" s="219"/>
      <c r="N429" s="219"/>
      <c r="O429" s="216"/>
      <c r="P429" s="216"/>
      <c r="Q429" s="216"/>
      <c r="R429" s="220"/>
      <c r="S429" s="220"/>
      <c r="T429" s="220"/>
      <c r="U429" s="230"/>
      <c r="V429" s="231"/>
      <c r="W429" s="232"/>
      <c r="X429" s="233"/>
      <c r="Y429" s="219"/>
      <c r="Z429" s="219"/>
    </row>
    <row r="430" spans="1:26" ht="15.75" thickBot="1">
      <c r="A430" s="225">
        <v>268</v>
      </c>
      <c r="B430" s="216"/>
      <c r="C430" s="216"/>
      <c r="D430" s="216"/>
      <c r="E430" s="216" t="s">
        <v>1120</v>
      </c>
      <c r="F430" s="226" t="s">
        <v>1121</v>
      </c>
      <c r="G430" s="227"/>
      <c r="H430" s="227"/>
      <c r="I430" s="216"/>
      <c r="J430" s="225">
        <v>64000</v>
      </c>
      <c r="K430" s="228">
        <v>5.9305555555555556E-2</v>
      </c>
      <c r="L430" s="225" t="s">
        <v>1082</v>
      </c>
      <c r="M430" s="219"/>
      <c r="N430" s="219"/>
      <c r="O430" s="216"/>
      <c r="P430" s="216"/>
      <c r="Q430" s="216"/>
      <c r="R430" s="220"/>
      <c r="S430" s="220"/>
      <c r="T430" s="220"/>
      <c r="U430" s="230"/>
      <c r="V430" s="231"/>
      <c r="W430" s="232"/>
      <c r="X430" s="233"/>
      <c r="Y430" s="219"/>
      <c r="Z430" s="219"/>
    </row>
    <row r="431" spans="1:26" ht="15.75" thickBot="1">
      <c r="A431" s="225">
        <v>269</v>
      </c>
      <c r="B431" s="216"/>
      <c r="C431" s="216"/>
      <c r="D431" s="216"/>
      <c r="E431" s="216" t="s">
        <v>1123</v>
      </c>
      <c r="F431" s="226" t="s">
        <v>1124</v>
      </c>
      <c r="G431" s="227"/>
      <c r="H431" s="227"/>
      <c r="I431" s="216"/>
      <c r="J431" s="225">
        <v>6000</v>
      </c>
      <c r="K431" s="228">
        <v>6.1493055555555558E-2</v>
      </c>
      <c r="L431" s="225" t="s">
        <v>1082</v>
      </c>
      <c r="M431" s="219"/>
      <c r="N431" s="219"/>
      <c r="O431" s="216"/>
      <c r="P431" s="216"/>
      <c r="Q431" s="216"/>
      <c r="R431" s="220"/>
      <c r="S431" s="220"/>
      <c r="T431" s="220"/>
      <c r="U431" s="230"/>
      <c r="V431" s="231"/>
      <c r="W431" s="232"/>
      <c r="X431" s="233"/>
      <c r="Y431" s="219"/>
      <c r="Z431" s="219"/>
    </row>
    <row r="432" spans="1:26" ht="15.75" thickBot="1">
      <c r="A432" s="225">
        <v>270</v>
      </c>
      <c r="B432" s="216"/>
      <c r="C432" s="216"/>
      <c r="D432" s="216"/>
      <c r="E432" s="216" t="s">
        <v>1126</v>
      </c>
      <c r="F432" s="226" t="s">
        <v>1127</v>
      </c>
      <c r="G432" s="227"/>
      <c r="H432" s="227"/>
      <c r="I432" s="216"/>
      <c r="J432" s="225">
        <v>8800</v>
      </c>
      <c r="K432" s="228">
        <v>1.8888888888888889E-2</v>
      </c>
      <c r="L432" s="225" t="s">
        <v>1082</v>
      </c>
      <c r="M432" s="219"/>
      <c r="N432" s="219"/>
      <c r="O432" s="216"/>
      <c r="P432" s="216"/>
      <c r="Q432" s="216"/>
      <c r="R432" s="220"/>
      <c r="S432" s="220"/>
      <c r="T432" s="220"/>
      <c r="U432" s="230"/>
      <c r="V432" s="231"/>
      <c r="W432" s="232"/>
      <c r="X432" s="233"/>
      <c r="Y432" s="219"/>
      <c r="Z432" s="219"/>
    </row>
    <row r="433" spans="1:26" ht="15.75" thickBot="1">
      <c r="A433" s="225">
        <v>271</v>
      </c>
      <c r="B433" s="216"/>
      <c r="C433" s="216"/>
      <c r="D433" s="216"/>
      <c r="E433" s="216" t="s">
        <v>1128</v>
      </c>
      <c r="F433" s="226" t="s">
        <v>1129</v>
      </c>
      <c r="G433" s="227"/>
      <c r="H433" s="227"/>
      <c r="I433" s="216"/>
      <c r="J433" s="225">
        <v>46000</v>
      </c>
      <c r="K433" s="228">
        <v>3.3611111111111112E-2</v>
      </c>
      <c r="L433" s="225" t="s">
        <v>1082</v>
      </c>
      <c r="M433" s="219"/>
      <c r="N433" s="219"/>
      <c r="O433" s="216"/>
      <c r="P433" s="216"/>
      <c r="Q433" s="216"/>
      <c r="R433" s="220"/>
      <c r="S433" s="220"/>
      <c r="T433" s="220"/>
      <c r="U433" s="230"/>
      <c r="V433" s="231"/>
      <c r="W433" s="232"/>
      <c r="X433" s="233"/>
      <c r="Y433" s="219"/>
      <c r="Z433" s="219"/>
    </row>
    <row r="434" spans="1:26" ht="15.75" thickBot="1">
      <c r="A434" s="225">
        <v>272</v>
      </c>
      <c r="B434" s="216"/>
      <c r="C434" s="216"/>
      <c r="D434" s="216"/>
      <c r="E434" s="216" t="s">
        <v>1131</v>
      </c>
      <c r="F434" s="226" t="s">
        <v>1132</v>
      </c>
      <c r="G434" s="227"/>
      <c r="H434" s="227"/>
      <c r="I434" s="216"/>
      <c r="J434" s="225">
        <v>7600</v>
      </c>
      <c r="K434" s="228">
        <v>3.3298611111111112E-2</v>
      </c>
      <c r="L434" s="225" t="s">
        <v>1082</v>
      </c>
      <c r="M434" s="219"/>
      <c r="N434" s="219"/>
      <c r="O434" s="216"/>
      <c r="P434" s="216"/>
      <c r="Q434" s="216"/>
      <c r="R434" s="220"/>
      <c r="S434" s="220"/>
      <c r="T434" s="220"/>
      <c r="U434" s="230"/>
      <c r="V434" s="231"/>
      <c r="W434" s="232"/>
      <c r="X434" s="233"/>
      <c r="Y434" s="219"/>
      <c r="Z434" s="219"/>
    </row>
    <row r="435" spans="1:26" ht="15.75" thickBot="1">
      <c r="A435" s="225">
        <v>273</v>
      </c>
      <c r="B435" s="216"/>
      <c r="C435" s="216"/>
      <c r="D435" s="216"/>
      <c r="E435" s="216" t="s">
        <v>1134</v>
      </c>
      <c r="F435" s="226" t="s">
        <v>1135</v>
      </c>
      <c r="G435" s="227"/>
      <c r="H435" s="227"/>
      <c r="I435" s="216"/>
      <c r="J435" s="225">
        <v>12000</v>
      </c>
      <c r="K435" s="228">
        <v>3.005787037037037E-2</v>
      </c>
      <c r="L435" s="225" t="s">
        <v>1082</v>
      </c>
      <c r="M435" s="219"/>
      <c r="N435" s="219"/>
      <c r="O435" s="216"/>
      <c r="P435" s="216"/>
      <c r="Q435" s="216"/>
      <c r="R435" s="220"/>
      <c r="S435" s="220"/>
      <c r="T435" s="220"/>
      <c r="U435" s="230"/>
      <c r="V435" s="231"/>
      <c r="W435" s="232"/>
      <c r="X435" s="233"/>
      <c r="Y435" s="219"/>
      <c r="Z435" s="219"/>
    </row>
    <row r="436" spans="1:26" ht="15.75" thickBot="1">
      <c r="A436" s="225">
        <v>274</v>
      </c>
      <c r="B436" s="216"/>
      <c r="C436" s="216"/>
      <c r="D436" s="216"/>
      <c r="E436" s="216" t="s">
        <v>1136</v>
      </c>
      <c r="F436" s="226" t="s">
        <v>1137</v>
      </c>
      <c r="G436" s="227"/>
      <c r="H436" s="227"/>
      <c r="I436" s="216"/>
      <c r="J436" s="225">
        <v>4400</v>
      </c>
      <c r="K436" s="228">
        <v>2.0902777777777781E-2</v>
      </c>
      <c r="L436" s="225" t="s">
        <v>1082</v>
      </c>
      <c r="M436" s="219"/>
      <c r="N436" s="219"/>
      <c r="O436" s="216"/>
      <c r="P436" s="216"/>
      <c r="Q436" s="216"/>
      <c r="R436" s="220"/>
      <c r="S436" s="220"/>
      <c r="T436" s="220"/>
      <c r="U436" s="230"/>
      <c r="V436" s="231"/>
      <c r="W436" s="232"/>
      <c r="X436" s="233"/>
      <c r="Y436" s="219"/>
      <c r="Z436" s="219"/>
    </row>
    <row r="437" spans="1:26" ht="15.75" thickBot="1">
      <c r="A437" s="225">
        <v>275</v>
      </c>
      <c r="B437" s="216"/>
      <c r="C437" s="216"/>
      <c r="D437" s="216"/>
      <c r="E437" s="216" t="s">
        <v>1138</v>
      </c>
      <c r="F437" s="226" t="s">
        <v>1139</v>
      </c>
      <c r="G437" s="227"/>
      <c r="H437" s="227"/>
      <c r="I437" s="216"/>
      <c r="J437" s="225">
        <v>4500</v>
      </c>
      <c r="K437" s="228">
        <v>2.2083333333333333E-2</v>
      </c>
      <c r="L437" s="225" t="s">
        <v>1082</v>
      </c>
      <c r="M437" s="219"/>
      <c r="N437" s="219"/>
      <c r="O437" s="216"/>
      <c r="P437" s="216"/>
      <c r="Q437" s="216"/>
      <c r="R437" s="220"/>
      <c r="S437" s="220"/>
      <c r="T437" s="220"/>
      <c r="U437" s="230"/>
      <c r="V437" s="231"/>
      <c r="W437" s="232"/>
      <c r="X437" s="233"/>
      <c r="Y437" s="219"/>
      <c r="Z437" s="219"/>
    </row>
    <row r="438" spans="1:26" ht="15.75" thickBot="1">
      <c r="A438" s="225">
        <v>276</v>
      </c>
      <c r="B438" s="216"/>
      <c r="C438" s="216"/>
      <c r="D438" s="216"/>
      <c r="E438" s="216" t="s">
        <v>1140</v>
      </c>
      <c r="F438" s="226" t="s">
        <v>1141</v>
      </c>
      <c r="G438" s="227"/>
      <c r="H438" s="227"/>
      <c r="I438" s="216"/>
      <c r="J438" s="225">
        <v>4300</v>
      </c>
      <c r="K438" s="228">
        <v>5.2430555555555555E-3</v>
      </c>
      <c r="L438" s="225" t="s">
        <v>1082</v>
      </c>
      <c r="M438" s="219"/>
      <c r="N438" s="219"/>
      <c r="O438" s="216"/>
      <c r="P438" s="216"/>
      <c r="Q438" s="216"/>
      <c r="R438" s="220"/>
      <c r="S438" s="220"/>
      <c r="T438" s="220"/>
      <c r="U438" s="230"/>
      <c r="V438" s="231"/>
      <c r="W438" s="232"/>
      <c r="X438" s="233"/>
      <c r="Y438" s="219"/>
      <c r="Z438" s="219"/>
    </row>
    <row r="439" spans="1:26" ht="15.75" thickBot="1">
      <c r="A439" s="225">
        <v>277</v>
      </c>
      <c r="B439" s="216"/>
      <c r="C439" s="216"/>
      <c r="D439" s="216"/>
      <c r="E439" s="216" t="s">
        <v>1142</v>
      </c>
      <c r="F439" s="226" t="s">
        <v>1143</v>
      </c>
      <c r="G439" s="227"/>
      <c r="H439" s="227"/>
      <c r="I439" s="216"/>
      <c r="J439" s="225">
        <v>34000</v>
      </c>
      <c r="K439" s="228">
        <v>2.388888888888889E-2</v>
      </c>
      <c r="L439" s="225" t="s">
        <v>1082</v>
      </c>
      <c r="M439" s="219"/>
      <c r="N439" s="219"/>
      <c r="O439" s="216"/>
      <c r="P439" s="216"/>
      <c r="Q439" s="216"/>
      <c r="R439" s="220"/>
      <c r="S439" s="220"/>
      <c r="T439" s="220"/>
      <c r="U439" s="230"/>
      <c r="V439" s="231"/>
      <c r="W439" s="232"/>
      <c r="X439" s="233"/>
      <c r="Y439" s="219"/>
      <c r="Z439" s="219"/>
    </row>
    <row r="440" spans="1:26" ht="15.75" thickBot="1">
      <c r="A440" s="225">
        <v>278</v>
      </c>
      <c r="B440" s="216"/>
      <c r="C440" s="216"/>
      <c r="D440" s="216"/>
      <c r="E440" s="216" t="s">
        <v>1144</v>
      </c>
      <c r="F440" s="226" t="s">
        <v>1145</v>
      </c>
      <c r="G440" s="227"/>
      <c r="H440" s="227"/>
      <c r="I440" s="216"/>
      <c r="J440" s="225">
        <v>27000</v>
      </c>
      <c r="K440" s="228">
        <v>5.3981481481481484E-2</v>
      </c>
      <c r="L440" s="225" t="s">
        <v>1082</v>
      </c>
      <c r="M440" s="219"/>
      <c r="N440" s="219"/>
      <c r="O440" s="216"/>
      <c r="P440" s="216"/>
      <c r="Q440" s="216"/>
      <c r="R440" s="220"/>
      <c r="S440" s="220"/>
      <c r="T440" s="220"/>
      <c r="U440" s="230"/>
      <c r="V440" s="231"/>
      <c r="W440" s="232"/>
      <c r="X440" s="233"/>
      <c r="Y440" s="219"/>
      <c r="Z440" s="219"/>
    </row>
    <row r="441" spans="1:26" ht="15.75" thickBot="1">
      <c r="A441" s="225">
        <v>279</v>
      </c>
      <c r="B441" s="216"/>
      <c r="C441" s="216"/>
      <c r="D441" s="216"/>
      <c r="E441" s="216" t="s">
        <v>1146</v>
      </c>
      <c r="F441" s="226" t="s">
        <v>1147</v>
      </c>
      <c r="G441" s="227"/>
      <c r="H441" s="227"/>
      <c r="I441" s="216"/>
      <c r="J441" s="225">
        <v>6600</v>
      </c>
      <c r="K441" s="228">
        <v>3.349537037037037E-2</v>
      </c>
      <c r="L441" s="225" t="s">
        <v>1082</v>
      </c>
      <c r="M441" s="219"/>
      <c r="N441" s="219"/>
      <c r="O441" s="216"/>
      <c r="P441" s="216"/>
      <c r="Q441" s="216"/>
      <c r="R441" s="220"/>
      <c r="S441" s="220"/>
      <c r="T441" s="220"/>
      <c r="U441" s="230"/>
      <c r="V441" s="231"/>
      <c r="W441" s="232"/>
      <c r="X441" s="233"/>
      <c r="Y441" s="219"/>
      <c r="Z441" s="219"/>
    </row>
    <row r="442" spans="1:26" ht="15.75" thickBot="1">
      <c r="A442" s="225">
        <v>280</v>
      </c>
      <c r="B442" s="216"/>
      <c r="C442" s="216"/>
      <c r="D442" s="216"/>
      <c r="E442" s="216" t="s">
        <v>1148</v>
      </c>
      <c r="F442" s="226" t="s">
        <v>1149</v>
      </c>
      <c r="G442" s="227"/>
      <c r="H442" s="227"/>
      <c r="I442" s="216"/>
      <c r="J442" s="225">
        <v>7200</v>
      </c>
      <c r="K442" s="228">
        <v>7.1504629629629626E-2</v>
      </c>
      <c r="L442" s="225" t="s">
        <v>1082</v>
      </c>
      <c r="M442" s="219"/>
      <c r="N442" s="219"/>
      <c r="O442" s="216"/>
      <c r="P442" s="216"/>
      <c r="Q442" s="216"/>
      <c r="R442" s="220"/>
      <c r="S442" s="220"/>
      <c r="T442" s="220"/>
      <c r="U442" s="230"/>
      <c r="V442" s="231"/>
      <c r="W442" s="232"/>
      <c r="X442" s="233"/>
      <c r="Y442" s="219"/>
      <c r="Z442" s="219"/>
    </row>
    <row r="443" spans="1:26" ht="15.75" thickBot="1">
      <c r="A443" s="225">
        <v>281</v>
      </c>
      <c r="B443" s="216"/>
      <c r="C443" s="216"/>
      <c r="D443" s="216"/>
      <c r="E443" s="216" t="s">
        <v>1150</v>
      </c>
      <c r="F443" s="226" t="s">
        <v>1151</v>
      </c>
      <c r="G443" s="227"/>
      <c r="H443" s="227"/>
      <c r="I443" s="216"/>
      <c r="J443" s="225">
        <v>20000</v>
      </c>
      <c r="K443" s="228">
        <v>9.6643518518518531E-2</v>
      </c>
      <c r="L443" s="225" t="s">
        <v>1082</v>
      </c>
      <c r="M443" s="219"/>
      <c r="N443" s="219"/>
      <c r="O443" s="216"/>
      <c r="P443" s="216"/>
      <c r="Q443" s="216"/>
      <c r="R443" s="220"/>
      <c r="S443" s="220"/>
      <c r="T443" s="220"/>
      <c r="U443" s="230"/>
      <c r="V443" s="231"/>
      <c r="W443" s="232"/>
      <c r="X443" s="233"/>
      <c r="Y443" s="219"/>
      <c r="Z443" s="219"/>
    </row>
    <row r="444" spans="1:26" ht="15.75" thickBot="1">
      <c r="A444" s="225">
        <v>282</v>
      </c>
      <c r="B444" s="216"/>
      <c r="C444" s="216"/>
      <c r="D444" s="216"/>
      <c r="E444" s="216" t="s">
        <v>1152</v>
      </c>
      <c r="F444" s="226" t="s">
        <v>1153</v>
      </c>
      <c r="G444" s="227"/>
      <c r="H444" s="227"/>
      <c r="I444" s="216"/>
      <c r="J444" s="225">
        <v>11000</v>
      </c>
      <c r="K444" s="228">
        <v>7.0729166666666662E-2</v>
      </c>
      <c r="L444" s="225" t="s">
        <v>1082</v>
      </c>
      <c r="M444" s="219"/>
      <c r="N444" s="219"/>
      <c r="O444" s="216"/>
      <c r="P444" s="216"/>
      <c r="Q444" s="216"/>
      <c r="R444" s="220"/>
      <c r="S444" s="220"/>
      <c r="T444" s="220"/>
      <c r="U444" s="230"/>
      <c r="V444" s="231"/>
      <c r="W444" s="232"/>
      <c r="X444" s="233"/>
      <c r="Y444" s="219"/>
      <c r="Z444" s="219"/>
    </row>
    <row r="445" spans="1:26" ht="15.75" thickBot="1">
      <c r="A445" s="225">
        <v>283</v>
      </c>
      <c r="B445" s="216"/>
      <c r="C445" s="216"/>
      <c r="D445" s="216"/>
      <c r="E445" s="216" t="s">
        <v>1154</v>
      </c>
      <c r="F445" s="226" t="s">
        <v>1155</v>
      </c>
      <c r="G445" s="227"/>
      <c r="H445" s="227"/>
      <c r="I445" s="216"/>
      <c r="J445" s="225">
        <v>10000</v>
      </c>
      <c r="K445" s="228">
        <v>8.3668981481481483E-2</v>
      </c>
      <c r="L445" s="225" t="s">
        <v>1082</v>
      </c>
      <c r="M445" s="219"/>
      <c r="N445" s="219"/>
      <c r="O445" s="216"/>
      <c r="P445" s="216"/>
      <c r="Q445" s="216"/>
      <c r="R445" s="220"/>
      <c r="S445" s="220"/>
      <c r="T445" s="220"/>
      <c r="U445" s="230"/>
      <c r="V445" s="231"/>
      <c r="W445" s="232"/>
      <c r="X445" s="233"/>
      <c r="Y445" s="219"/>
      <c r="Z445" s="219"/>
    </row>
    <row r="446" spans="1:26" ht="15.75" thickBot="1">
      <c r="A446" s="225">
        <v>284</v>
      </c>
      <c r="B446" s="216"/>
      <c r="C446" s="216"/>
      <c r="D446" s="216"/>
      <c r="E446" s="216" t="s">
        <v>1156</v>
      </c>
      <c r="F446" s="226" t="s">
        <v>1157</v>
      </c>
      <c r="G446" s="227"/>
      <c r="H446" s="227"/>
      <c r="I446" s="216"/>
      <c r="J446" s="225">
        <v>4700</v>
      </c>
      <c r="K446" s="228">
        <v>7.5624999999999998E-2</v>
      </c>
      <c r="L446" s="225" t="s">
        <v>1082</v>
      </c>
      <c r="M446" s="219"/>
      <c r="N446" s="219"/>
      <c r="O446" s="216"/>
      <c r="P446" s="216"/>
      <c r="Q446" s="216"/>
      <c r="R446" s="220"/>
      <c r="S446" s="220"/>
      <c r="T446" s="220"/>
      <c r="U446" s="230"/>
      <c r="V446" s="231"/>
      <c r="W446" s="232"/>
      <c r="X446" s="233"/>
      <c r="Y446" s="219"/>
      <c r="Z446" s="219"/>
    </row>
    <row r="447" spans="1:26" ht="15.75" thickBot="1">
      <c r="A447" s="225">
        <v>285</v>
      </c>
      <c r="B447" s="216"/>
      <c r="C447" s="216"/>
      <c r="D447" s="216"/>
      <c r="E447" s="216" t="s">
        <v>1158</v>
      </c>
      <c r="F447" s="226" t="s">
        <v>1159</v>
      </c>
      <c r="G447" s="227"/>
      <c r="H447" s="227"/>
      <c r="I447" s="216"/>
      <c r="J447" s="225">
        <v>6700</v>
      </c>
      <c r="K447" s="228">
        <v>1.8472222222222223E-2</v>
      </c>
      <c r="L447" s="225" t="s">
        <v>1082</v>
      </c>
      <c r="M447" s="219"/>
      <c r="N447" s="219"/>
      <c r="O447" s="216"/>
      <c r="P447" s="216"/>
      <c r="Q447" s="216"/>
      <c r="R447" s="220"/>
      <c r="S447" s="220"/>
      <c r="T447" s="220"/>
      <c r="U447" s="230"/>
      <c r="V447" s="231"/>
      <c r="W447" s="232"/>
      <c r="X447" s="233"/>
      <c r="Y447" s="219"/>
      <c r="Z447" s="219"/>
    </row>
    <row r="448" spans="1:26" ht="15.75" thickBot="1">
      <c r="A448" s="225">
        <v>286</v>
      </c>
      <c r="B448" s="216"/>
      <c r="C448" s="216"/>
      <c r="D448" s="216"/>
      <c r="E448" s="216" t="s">
        <v>1160</v>
      </c>
      <c r="F448" s="226" t="s">
        <v>1161</v>
      </c>
      <c r="G448" s="227"/>
      <c r="H448" s="227"/>
      <c r="I448" s="216"/>
      <c r="J448" s="225">
        <v>11000</v>
      </c>
      <c r="K448" s="228">
        <v>9.5694444444444457E-2</v>
      </c>
      <c r="L448" s="225" t="s">
        <v>1162</v>
      </c>
      <c r="M448" s="219"/>
      <c r="N448" s="219"/>
      <c r="O448" s="216"/>
      <c r="P448" s="216"/>
      <c r="Q448" s="216"/>
      <c r="R448" s="220"/>
      <c r="S448" s="220"/>
      <c r="T448" s="220"/>
      <c r="U448" s="230"/>
      <c r="V448" s="231"/>
      <c r="W448" s="232"/>
      <c r="X448" s="233"/>
      <c r="Y448" s="219"/>
      <c r="Z448" s="219"/>
    </row>
    <row r="449" spans="1:26" ht="15.75" thickBot="1">
      <c r="A449" s="225">
        <v>287</v>
      </c>
      <c r="B449" s="216"/>
      <c r="C449" s="216"/>
      <c r="D449" s="216"/>
      <c r="E449" s="216" t="s">
        <v>1164</v>
      </c>
      <c r="F449" s="226" t="s">
        <v>1165</v>
      </c>
      <c r="G449" s="227"/>
      <c r="H449" s="227"/>
      <c r="I449" s="216"/>
      <c r="J449" s="225">
        <v>14000</v>
      </c>
      <c r="K449" s="228">
        <v>8.5358796296296294E-2</v>
      </c>
      <c r="L449" s="225" t="s">
        <v>1162</v>
      </c>
      <c r="M449" s="219"/>
      <c r="N449" s="219"/>
      <c r="O449" s="216"/>
      <c r="P449" s="216"/>
      <c r="Q449" s="216"/>
      <c r="R449" s="220"/>
      <c r="S449" s="220"/>
      <c r="T449" s="220"/>
      <c r="U449" s="230"/>
      <c r="V449" s="231"/>
      <c r="W449" s="232"/>
      <c r="X449" s="233"/>
      <c r="Y449" s="219"/>
      <c r="Z449" s="219"/>
    </row>
    <row r="450" spans="1:26" ht="15.75" thickBot="1">
      <c r="A450" s="225">
        <v>288</v>
      </c>
      <c r="B450" s="216"/>
      <c r="C450" s="216"/>
      <c r="D450" s="216"/>
      <c r="E450" s="216" t="s">
        <v>1166</v>
      </c>
      <c r="F450" s="226" t="s">
        <v>1167</v>
      </c>
      <c r="G450" s="227"/>
      <c r="H450" s="227"/>
      <c r="I450" s="216"/>
      <c r="J450" s="225">
        <v>6900</v>
      </c>
      <c r="K450" s="228">
        <v>5.6840277777777781E-2</v>
      </c>
      <c r="L450" s="225" t="s">
        <v>1162</v>
      </c>
      <c r="M450" s="219"/>
      <c r="N450" s="219"/>
      <c r="O450" s="216"/>
      <c r="P450" s="216"/>
      <c r="Q450" s="216"/>
      <c r="R450" s="220"/>
      <c r="S450" s="220"/>
      <c r="T450" s="220"/>
      <c r="U450" s="230"/>
      <c r="V450" s="231"/>
      <c r="W450" s="232"/>
      <c r="X450" s="233"/>
      <c r="Y450" s="219"/>
      <c r="Z450" s="219"/>
    </row>
    <row r="451" spans="1:26" ht="15.75" thickBot="1">
      <c r="A451" s="225">
        <v>289</v>
      </c>
      <c r="B451" s="216"/>
      <c r="C451" s="216"/>
      <c r="D451" s="216"/>
      <c r="E451" s="216" t="s">
        <v>1169</v>
      </c>
      <c r="F451" s="226" t="s">
        <v>1170</v>
      </c>
      <c r="G451" s="227"/>
      <c r="H451" s="227"/>
      <c r="I451" s="216"/>
      <c r="J451" s="225">
        <v>22000</v>
      </c>
      <c r="K451" s="228">
        <v>7.4872685185185181E-2</v>
      </c>
      <c r="L451" s="225" t="s">
        <v>1162</v>
      </c>
      <c r="M451" s="219"/>
      <c r="N451" s="219"/>
      <c r="O451" s="216"/>
      <c r="P451" s="216"/>
      <c r="Q451" s="216"/>
      <c r="R451" s="220"/>
      <c r="S451" s="220"/>
      <c r="T451" s="220"/>
      <c r="U451" s="230"/>
      <c r="V451" s="231"/>
      <c r="W451" s="232"/>
      <c r="X451" s="233"/>
      <c r="Y451" s="219"/>
      <c r="Z451" s="219"/>
    </row>
    <row r="452" spans="1:26" ht="15.75" thickBot="1">
      <c r="A452" s="225">
        <v>290</v>
      </c>
      <c r="B452" s="216"/>
      <c r="C452" s="216"/>
      <c r="D452" s="216"/>
      <c r="E452" s="216" t="s">
        <v>1171</v>
      </c>
      <c r="F452" s="226" t="s">
        <v>1172</v>
      </c>
      <c r="G452" s="227"/>
      <c r="H452" s="227"/>
      <c r="I452" s="216"/>
      <c r="J452" s="225">
        <v>13000</v>
      </c>
      <c r="K452" s="228">
        <v>8.1319444444444444E-2</v>
      </c>
      <c r="L452" s="225" t="s">
        <v>1162</v>
      </c>
      <c r="M452" s="219"/>
      <c r="N452" s="219"/>
      <c r="O452" s="216"/>
      <c r="P452" s="216"/>
      <c r="Q452" s="216"/>
      <c r="R452" s="220"/>
      <c r="S452" s="220"/>
      <c r="T452" s="220"/>
      <c r="U452" s="230"/>
      <c r="V452" s="231"/>
      <c r="W452" s="232"/>
      <c r="X452" s="233"/>
      <c r="Y452" s="219"/>
      <c r="Z452" s="219"/>
    </row>
    <row r="453" spans="1:26" ht="15.75" thickBot="1">
      <c r="A453" s="225">
        <v>291</v>
      </c>
      <c r="B453" s="216"/>
      <c r="C453" s="216"/>
      <c r="D453" s="216"/>
      <c r="E453" s="216" t="s">
        <v>1173</v>
      </c>
      <c r="F453" s="226" t="s">
        <v>1174</v>
      </c>
      <c r="G453" s="227"/>
      <c r="H453" s="227"/>
      <c r="I453" s="216"/>
      <c r="J453" s="225">
        <v>51000</v>
      </c>
      <c r="K453" s="228">
        <v>6.4849537037037039E-2</v>
      </c>
      <c r="L453" s="225" t="s">
        <v>1162</v>
      </c>
      <c r="M453" s="219"/>
      <c r="N453" s="219"/>
      <c r="O453" s="216"/>
      <c r="P453" s="216"/>
      <c r="Q453" s="216"/>
      <c r="R453" s="220"/>
      <c r="S453" s="220"/>
      <c r="T453" s="220"/>
      <c r="U453" s="230"/>
      <c r="V453" s="231"/>
      <c r="W453" s="232"/>
      <c r="X453" s="233"/>
      <c r="Y453" s="219"/>
      <c r="Z453" s="219"/>
    </row>
    <row r="454" spans="1:26" ht="15.75" thickBot="1">
      <c r="A454" s="225">
        <v>292</v>
      </c>
      <c r="B454" s="216"/>
      <c r="C454" s="216"/>
      <c r="D454" s="216"/>
      <c r="E454" s="216" t="s">
        <v>1175</v>
      </c>
      <c r="F454" s="226" t="s">
        <v>1176</v>
      </c>
      <c r="G454" s="227"/>
      <c r="H454" s="227"/>
      <c r="I454" s="216"/>
      <c r="J454" s="225">
        <v>11000</v>
      </c>
      <c r="K454" s="228">
        <v>4.9687499999999996E-2</v>
      </c>
      <c r="L454" s="225" t="s">
        <v>1162</v>
      </c>
      <c r="M454" s="219"/>
      <c r="N454" s="219"/>
      <c r="O454" s="216"/>
      <c r="P454" s="216"/>
      <c r="Q454" s="216"/>
      <c r="R454" s="220"/>
      <c r="S454" s="220"/>
      <c r="T454" s="220"/>
      <c r="U454" s="230"/>
      <c r="V454" s="231"/>
      <c r="W454" s="232"/>
      <c r="X454" s="233"/>
      <c r="Y454" s="219"/>
      <c r="Z454" s="219"/>
    </row>
    <row r="455" spans="1:26" ht="15.75" thickBot="1">
      <c r="A455" s="225">
        <v>293</v>
      </c>
      <c r="B455" s="216"/>
      <c r="C455" s="216"/>
      <c r="D455" s="216"/>
      <c r="E455" s="216" t="s">
        <v>1178</v>
      </c>
      <c r="F455" s="226" t="s">
        <v>1179</v>
      </c>
      <c r="G455" s="227"/>
      <c r="H455" s="227"/>
      <c r="I455" s="216"/>
      <c r="J455" s="225">
        <v>19000</v>
      </c>
      <c r="K455" s="228">
        <v>6.6412037037037033E-2</v>
      </c>
      <c r="L455" s="225" t="s">
        <v>1162</v>
      </c>
      <c r="M455" s="219"/>
      <c r="N455" s="219"/>
      <c r="O455" s="216"/>
      <c r="P455" s="216"/>
      <c r="Q455" s="216"/>
      <c r="R455" s="220"/>
      <c r="S455" s="220"/>
      <c r="T455" s="220"/>
      <c r="U455" s="230"/>
      <c r="V455" s="231"/>
      <c r="W455" s="232"/>
      <c r="X455" s="233"/>
      <c r="Y455" s="219"/>
      <c r="Z455" s="219"/>
    </row>
    <row r="456" spans="1:26" ht="15.75" thickBot="1">
      <c r="A456" s="225">
        <v>294</v>
      </c>
      <c r="B456" s="216"/>
      <c r="C456" s="216"/>
      <c r="D456" s="216"/>
      <c r="E456" s="216" t="s">
        <v>1180</v>
      </c>
      <c r="F456" s="226" t="s">
        <v>1181</v>
      </c>
      <c r="G456" s="227"/>
      <c r="H456" s="227"/>
      <c r="I456" s="216"/>
      <c r="J456" s="225">
        <v>19000</v>
      </c>
      <c r="K456" s="228">
        <v>1.2002314814814815E-2</v>
      </c>
      <c r="L456" s="225" t="s">
        <v>1162</v>
      </c>
      <c r="M456" s="219"/>
      <c r="N456" s="219"/>
      <c r="O456" s="216"/>
      <c r="P456" s="216"/>
      <c r="Q456" s="216"/>
      <c r="R456" s="220"/>
      <c r="S456" s="220"/>
      <c r="T456" s="220"/>
      <c r="U456" s="230"/>
      <c r="V456" s="231"/>
      <c r="W456" s="232"/>
      <c r="X456" s="233"/>
      <c r="Y456" s="219"/>
      <c r="Z456" s="219"/>
    </row>
    <row r="457" spans="1:26" ht="15.75" thickBot="1">
      <c r="A457" s="225">
        <v>295</v>
      </c>
      <c r="B457" s="216"/>
      <c r="C457" s="216"/>
      <c r="D457" s="216"/>
      <c r="E457" s="216" t="s">
        <v>1182</v>
      </c>
      <c r="F457" s="226" t="s">
        <v>1183</v>
      </c>
      <c r="G457" s="227"/>
      <c r="H457" s="227"/>
      <c r="I457" s="216"/>
      <c r="J457" s="225">
        <v>3500</v>
      </c>
      <c r="K457" s="228">
        <v>7.5347222222222213E-3</v>
      </c>
      <c r="L457" s="225" t="s">
        <v>1162</v>
      </c>
      <c r="M457" s="219"/>
      <c r="N457" s="219"/>
      <c r="O457" s="216"/>
      <c r="P457" s="216"/>
      <c r="Q457" s="216"/>
      <c r="R457" s="220"/>
      <c r="S457" s="220"/>
      <c r="T457" s="220"/>
      <c r="U457" s="230"/>
      <c r="V457" s="231"/>
      <c r="W457" s="232"/>
      <c r="X457" s="233"/>
      <c r="Y457" s="219"/>
      <c r="Z457" s="219"/>
    </row>
    <row r="458" spans="1:26" ht="15.75" thickBot="1">
      <c r="A458" s="225">
        <v>296</v>
      </c>
      <c r="B458" s="216"/>
      <c r="C458" s="216"/>
      <c r="D458" s="216"/>
      <c r="E458" s="216" t="s">
        <v>1184</v>
      </c>
      <c r="F458" s="226" t="s">
        <v>1185</v>
      </c>
      <c r="G458" s="227"/>
      <c r="H458" s="227"/>
      <c r="I458" s="216"/>
      <c r="J458" s="225">
        <v>10000</v>
      </c>
      <c r="K458" s="228">
        <v>7.3854166666666665E-2</v>
      </c>
      <c r="L458" s="225" t="s">
        <v>1162</v>
      </c>
      <c r="M458" s="219"/>
      <c r="N458" s="219"/>
      <c r="O458" s="216"/>
      <c r="P458" s="216"/>
      <c r="Q458" s="216"/>
      <c r="R458" s="220"/>
      <c r="S458" s="220"/>
      <c r="T458" s="220"/>
      <c r="U458" s="230"/>
      <c r="V458" s="231"/>
      <c r="W458" s="232"/>
      <c r="X458" s="233"/>
      <c r="Y458" s="219"/>
      <c r="Z458" s="219"/>
    </row>
    <row r="459" spans="1:26" ht="15.75" thickBot="1">
      <c r="A459" s="225">
        <v>297</v>
      </c>
      <c r="B459" s="216"/>
      <c r="C459" s="216"/>
      <c r="D459" s="216"/>
      <c r="E459" s="216" t="s">
        <v>1186</v>
      </c>
      <c r="F459" s="226" t="s">
        <v>1187</v>
      </c>
      <c r="G459" s="227"/>
      <c r="H459" s="227"/>
      <c r="I459" s="216"/>
      <c r="J459" s="225">
        <v>10000</v>
      </c>
      <c r="K459" s="228">
        <v>6.8749999999999992E-2</v>
      </c>
      <c r="L459" s="225" t="s">
        <v>1162</v>
      </c>
      <c r="M459" s="219"/>
      <c r="N459" s="219"/>
      <c r="O459" s="216"/>
      <c r="P459" s="216"/>
      <c r="Q459" s="216"/>
      <c r="R459" s="220"/>
      <c r="S459" s="220"/>
      <c r="T459" s="220"/>
      <c r="U459" s="230"/>
      <c r="V459" s="231"/>
      <c r="W459" s="232"/>
      <c r="X459" s="233"/>
      <c r="Y459" s="219"/>
      <c r="Z459" s="219"/>
    </row>
    <row r="460" spans="1:26" ht="15.75" thickBot="1">
      <c r="A460" s="225">
        <v>298</v>
      </c>
      <c r="B460" s="216"/>
      <c r="C460" s="216"/>
      <c r="D460" s="216"/>
      <c r="E460" s="216" t="s">
        <v>1188</v>
      </c>
      <c r="F460" s="226" t="s">
        <v>1189</v>
      </c>
      <c r="G460" s="227"/>
      <c r="H460" s="227"/>
      <c r="I460" s="216"/>
      <c r="J460" s="225">
        <v>15000</v>
      </c>
      <c r="K460" s="228">
        <v>2.1585648148148145E-2</v>
      </c>
      <c r="L460" s="225" t="s">
        <v>1162</v>
      </c>
      <c r="M460" s="219"/>
      <c r="N460" s="219"/>
      <c r="O460" s="216"/>
      <c r="P460" s="216"/>
      <c r="Q460" s="216"/>
      <c r="R460" s="220"/>
      <c r="S460" s="220"/>
      <c r="T460" s="220"/>
      <c r="U460" s="230"/>
      <c r="V460" s="231"/>
      <c r="W460" s="232"/>
      <c r="X460" s="233"/>
      <c r="Y460" s="219"/>
      <c r="Z460" s="219"/>
    </row>
    <row r="461" spans="1:26" ht="15.75" thickBot="1">
      <c r="A461" s="225">
        <v>299</v>
      </c>
      <c r="B461" s="216"/>
      <c r="C461" s="216"/>
      <c r="D461" s="216"/>
      <c r="E461" s="216" t="s">
        <v>1190</v>
      </c>
      <c r="F461" s="226" t="s">
        <v>1191</v>
      </c>
      <c r="G461" s="227"/>
      <c r="H461" s="227"/>
      <c r="I461" s="216"/>
      <c r="J461" s="225">
        <v>3100</v>
      </c>
      <c r="K461" s="228">
        <v>6.7662037037037034E-2</v>
      </c>
      <c r="L461" s="225" t="s">
        <v>1162</v>
      </c>
      <c r="M461" s="219"/>
      <c r="N461" s="219"/>
      <c r="O461" s="216"/>
      <c r="P461" s="216"/>
      <c r="Q461" s="216"/>
      <c r="R461" s="220"/>
      <c r="S461" s="220"/>
      <c r="T461" s="220"/>
      <c r="U461" s="230"/>
      <c r="V461" s="231"/>
      <c r="W461" s="232"/>
      <c r="X461" s="233"/>
      <c r="Y461" s="219"/>
      <c r="Z461" s="219"/>
    </row>
    <row r="462" spans="1:26" ht="15.75" thickBot="1">
      <c r="A462" s="225">
        <v>300</v>
      </c>
      <c r="B462" s="216"/>
      <c r="C462" s="216"/>
      <c r="D462" s="216"/>
      <c r="E462" s="216" t="s">
        <v>1192</v>
      </c>
      <c r="F462" s="226" t="s">
        <v>1193</v>
      </c>
      <c r="G462" s="227"/>
      <c r="H462" s="227"/>
      <c r="I462" s="216"/>
      <c r="J462" s="225">
        <v>27000</v>
      </c>
      <c r="K462" s="228">
        <v>0.11447916666666667</v>
      </c>
      <c r="L462" s="225" t="s">
        <v>1162</v>
      </c>
      <c r="M462" s="219"/>
      <c r="N462" s="219"/>
      <c r="O462" s="216"/>
      <c r="P462" s="216"/>
      <c r="Q462" s="216"/>
      <c r="R462" s="220"/>
      <c r="S462" s="220"/>
      <c r="T462" s="220"/>
      <c r="U462" s="230"/>
      <c r="V462" s="231"/>
      <c r="W462" s="232"/>
      <c r="X462" s="233"/>
      <c r="Y462" s="219"/>
      <c r="Z462" s="219"/>
    </row>
    <row r="463" spans="1:26" ht="15.75" thickBot="1">
      <c r="A463" s="225">
        <v>301</v>
      </c>
      <c r="B463" s="216"/>
      <c r="C463" s="216"/>
      <c r="D463" s="216"/>
      <c r="E463" s="216" t="s">
        <v>1194</v>
      </c>
      <c r="F463" s="226" t="s">
        <v>1195</v>
      </c>
      <c r="G463" s="227"/>
      <c r="H463" s="227"/>
      <c r="I463" s="216"/>
      <c r="J463" s="225">
        <v>4600</v>
      </c>
      <c r="K463" s="228">
        <v>9.5578703703703694E-2</v>
      </c>
      <c r="L463" s="225" t="s">
        <v>1162</v>
      </c>
      <c r="M463" s="219"/>
      <c r="N463" s="219"/>
      <c r="O463" s="216"/>
      <c r="P463" s="216"/>
      <c r="Q463" s="216"/>
      <c r="R463" s="220"/>
      <c r="S463" s="220"/>
      <c r="T463" s="220"/>
      <c r="U463" s="230"/>
      <c r="V463" s="231"/>
      <c r="W463" s="232"/>
      <c r="X463" s="233"/>
      <c r="Y463" s="219"/>
      <c r="Z463" s="219"/>
    </row>
    <row r="464" spans="1:26" ht="15.75" thickBot="1">
      <c r="A464" s="225">
        <v>302</v>
      </c>
      <c r="B464" s="216"/>
      <c r="C464" s="216"/>
      <c r="D464" s="216"/>
      <c r="E464" s="216" t="s">
        <v>1196</v>
      </c>
      <c r="F464" s="226" t="s">
        <v>1197</v>
      </c>
      <c r="G464" s="227"/>
      <c r="H464" s="227"/>
      <c r="I464" s="216"/>
      <c r="J464" s="225">
        <v>27000</v>
      </c>
      <c r="K464" s="228">
        <v>4.0474537037037038E-2</v>
      </c>
      <c r="L464" s="225" t="s">
        <v>1162</v>
      </c>
      <c r="M464" s="219"/>
      <c r="N464" s="219"/>
      <c r="O464" s="216"/>
      <c r="P464" s="216"/>
      <c r="Q464" s="216"/>
      <c r="R464" s="220"/>
      <c r="S464" s="220"/>
      <c r="T464" s="220"/>
      <c r="U464" s="230"/>
      <c r="V464" s="231"/>
      <c r="W464" s="232"/>
      <c r="X464" s="233"/>
      <c r="Y464" s="219"/>
      <c r="Z464" s="219"/>
    </row>
    <row r="465" spans="1:26" ht="15.75" thickBot="1">
      <c r="A465" s="225">
        <v>303</v>
      </c>
      <c r="B465" s="216"/>
      <c r="C465" s="216"/>
      <c r="D465" s="216"/>
      <c r="E465" s="216" t="s">
        <v>1198</v>
      </c>
      <c r="F465" s="226" t="s">
        <v>1199</v>
      </c>
      <c r="G465" s="227"/>
      <c r="H465" s="227"/>
      <c r="I465" s="216"/>
      <c r="J465" s="225">
        <v>7500</v>
      </c>
      <c r="K465" s="228">
        <v>9.9988425925925925E-2</v>
      </c>
      <c r="L465" s="225" t="s">
        <v>1162</v>
      </c>
      <c r="M465" s="219"/>
      <c r="N465" s="219"/>
      <c r="O465" s="216"/>
      <c r="P465" s="216"/>
      <c r="Q465" s="216"/>
      <c r="R465" s="220"/>
      <c r="S465" s="220"/>
      <c r="T465" s="220"/>
      <c r="U465" s="230"/>
      <c r="V465" s="231"/>
      <c r="W465" s="232"/>
      <c r="X465" s="233"/>
      <c r="Y465" s="219"/>
      <c r="Z465" s="219"/>
    </row>
    <row r="466" spans="1:26" ht="15.75" thickBot="1">
      <c r="A466" s="225">
        <v>304</v>
      </c>
      <c r="B466" s="216"/>
      <c r="C466" s="216"/>
      <c r="D466" s="216"/>
      <c r="E466" s="216" t="s">
        <v>1200</v>
      </c>
      <c r="F466" s="226" t="s">
        <v>1201</v>
      </c>
      <c r="G466" s="227"/>
      <c r="H466" s="227"/>
      <c r="I466" s="216"/>
      <c r="J466" s="225">
        <v>5700</v>
      </c>
      <c r="K466" s="228">
        <v>8.6851851851851847E-2</v>
      </c>
      <c r="L466" s="225" t="s">
        <v>1162</v>
      </c>
      <c r="M466" s="219"/>
      <c r="N466" s="219"/>
      <c r="O466" s="216"/>
      <c r="P466" s="216"/>
      <c r="Q466" s="216"/>
      <c r="R466" s="220"/>
      <c r="S466" s="220"/>
      <c r="T466" s="220"/>
      <c r="U466" s="230"/>
      <c r="V466" s="231"/>
      <c r="W466" s="232"/>
      <c r="X466" s="233"/>
      <c r="Y466" s="219"/>
      <c r="Z466" s="219"/>
    </row>
    <row r="467" spans="1:26" ht="15.75" thickBot="1">
      <c r="A467" s="225">
        <v>305</v>
      </c>
      <c r="B467" s="216"/>
      <c r="C467" s="216"/>
      <c r="D467" s="216"/>
      <c r="E467" s="216" t="s">
        <v>1202</v>
      </c>
      <c r="F467" s="226" t="s">
        <v>1203</v>
      </c>
      <c r="G467" s="227"/>
      <c r="H467" s="227"/>
      <c r="I467" s="216"/>
      <c r="J467" s="225">
        <v>20000</v>
      </c>
      <c r="K467" s="228">
        <v>0.1057523148148148</v>
      </c>
      <c r="L467" s="225" t="s">
        <v>1162</v>
      </c>
      <c r="M467" s="219"/>
      <c r="N467" s="219"/>
      <c r="O467" s="216"/>
      <c r="P467" s="216"/>
      <c r="Q467" s="216"/>
      <c r="R467" s="220"/>
      <c r="S467" s="220"/>
      <c r="T467" s="220"/>
      <c r="U467" s="230"/>
      <c r="V467" s="231"/>
      <c r="W467" s="232"/>
      <c r="X467" s="233"/>
      <c r="Y467" s="219"/>
      <c r="Z467" s="219"/>
    </row>
    <row r="468" spans="1:26" ht="15.75" thickBot="1">
      <c r="A468" s="225">
        <v>306</v>
      </c>
      <c r="B468" s="216"/>
      <c r="C468" s="216"/>
      <c r="D468" s="216"/>
      <c r="E468" s="216" t="s">
        <v>1204</v>
      </c>
      <c r="F468" s="226" t="s">
        <v>1205</v>
      </c>
      <c r="G468" s="227"/>
      <c r="H468" s="227"/>
      <c r="I468" s="216"/>
      <c r="J468" s="225">
        <v>6300</v>
      </c>
      <c r="K468" s="228">
        <v>5.4166666666666669E-2</v>
      </c>
      <c r="L468" s="225" t="s">
        <v>1162</v>
      </c>
      <c r="M468" s="219"/>
      <c r="N468" s="219"/>
      <c r="O468" s="216"/>
      <c r="P468" s="216"/>
      <c r="Q468" s="216"/>
      <c r="R468" s="220"/>
      <c r="S468" s="220"/>
      <c r="T468" s="220"/>
      <c r="U468" s="230"/>
      <c r="V468" s="231"/>
      <c r="W468" s="232"/>
      <c r="X468" s="233"/>
      <c r="Y468" s="219"/>
      <c r="Z468" s="219"/>
    </row>
    <row r="469" spans="1:26" ht="15.75" thickBot="1">
      <c r="A469" s="225">
        <v>307</v>
      </c>
      <c r="B469" s="216"/>
      <c r="C469" s="216"/>
      <c r="D469" s="216"/>
      <c r="E469" s="216" t="s">
        <v>1206</v>
      </c>
      <c r="F469" s="226" t="s">
        <v>1207</v>
      </c>
      <c r="G469" s="227"/>
      <c r="H469" s="227"/>
      <c r="I469" s="216"/>
      <c r="J469" s="225">
        <v>6800</v>
      </c>
      <c r="K469" s="228">
        <v>7.5856481481481483E-2</v>
      </c>
      <c r="L469" s="225" t="s">
        <v>1162</v>
      </c>
      <c r="M469" s="219"/>
      <c r="N469" s="219"/>
      <c r="O469" s="216"/>
      <c r="P469" s="216"/>
      <c r="Q469" s="216"/>
      <c r="R469" s="220"/>
      <c r="S469" s="220"/>
      <c r="T469" s="220"/>
      <c r="U469" s="230"/>
      <c r="V469" s="231"/>
      <c r="W469" s="232"/>
      <c r="X469" s="233"/>
      <c r="Y469" s="219"/>
      <c r="Z469" s="219"/>
    </row>
    <row r="470" spans="1:26" ht="15.75" thickBot="1">
      <c r="A470" s="225">
        <v>308</v>
      </c>
      <c r="B470" s="216"/>
      <c r="C470" s="216"/>
      <c r="D470" s="216"/>
      <c r="E470" s="216" t="s">
        <v>1208</v>
      </c>
      <c r="F470" s="226" t="s">
        <v>1209</v>
      </c>
      <c r="G470" s="227"/>
      <c r="H470" s="227"/>
      <c r="I470" s="216"/>
      <c r="J470" s="225">
        <v>9900</v>
      </c>
      <c r="K470" s="228">
        <v>6.2291666666666669E-2</v>
      </c>
      <c r="L470" s="225" t="s">
        <v>1162</v>
      </c>
      <c r="M470" s="219"/>
      <c r="N470" s="219"/>
      <c r="O470" s="216"/>
      <c r="P470" s="216"/>
      <c r="Q470" s="216"/>
      <c r="R470" s="220"/>
      <c r="S470" s="220"/>
      <c r="T470" s="220"/>
      <c r="U470" s="230"/>
      <c r="V470" s="231"/>
      <c r="W470" s="232"/>
      <c r="X470" s="233"/>
      <c r="Y470" s="219"/>
      <c r="Z470" s="219"/>
    </row>
    <row r="471" spans="1:26" ht="15.75" thickBot="1">
      <c r="A471" s="225">
        <v>309</v>
      </c>
      <c r="B471" s="216"/>
      <c r="C471" s="216"/>
      <c r="D471" s="216"/>
      <c r="E471" s="216" t="s">
        <v>1210</v>
      </c>
      <c r="F471" s="226" t="s">
        <v>1211</v>
      </c>
      <c r="G471" s="227"/>
      <c r="H471" s="227"/>
      <c r="I471" s="216"/>
      <c r="J471" s="225">
        <v>849</v>
      </c>
      <c r="K471" s="228">
        <v>3.9004629629629632E-3</v>
      </c>
      <c r="L471" s="225" t="s">
        <v>1162</v>
      </c>
      <c r="M471" s="219"/>
      <c r="N471" s="219"/>
      <c r="O471" s="216"/>
      <c r="P471" s="216"/>
      <c r="Q471" s="216"/>
      <c r="R471" s="220"/>
      <c r="S471" s="220"/>
      <c r="T471" s="220"/>
      <c r="U471" s="230"/>
      <c r="V471" s="231"/>
      <c r="W471" s="232"/>
      <c r="X471" s="233"/>
      <c r="Y471" s="219"/>
      <c r="Z471" s="219"/>
    </row>
    <row r="472" spans="1:26" ht="15.75" thickBot="1">
      <c r="A472" s="225">
        <v>310</v>
      </c>
      <c r="B472" s="216"/>
      <c r="C472" s="216"/>
      <c r="D472" s="216"/>
      <c r="E472" s="216" t="s">
        <v>1212</v>
      </c>
      <c r="F472" s="226" t="s">
        <v>1213</v>
      </c>
      <c r="G472" s="227"/>
      <c r="H472" s="227"/>
      <c r="I472" s="216"/>
      <c r="J472" s="225">
        <v>799</v>
      </c>
      <c r="K472" s="228">
        <v>3.8541666666666668E-3</v>
      </c>
      <c r="L472" s="225" t="s">
        <v>1162</v>
      </c>
      <c r="M472" s="219"/>
      <c r="N472" s="219"/>
      <c r="O472" s="216"/>
      <c r="P472" s="216"/>
      <c r="Q472" s="216"/>
      <c r="R472" s="220"/>
      <c r="S472" s="220"/>
      <c r="T472" s="220"/>
      <c r="U472" s="230"/>
      <c r="V472" s="231"/>
      <c r="W472" s="232"/>
      <c r="X472" s="233"/>
      <c r="Y472" s="219"/>
      <c r="Z472" s="219"/>
    </row>
    <row r="473" spans="1:26" ht="15.75" thickBot="1">
      <c r="A473" s="225">
        <v>311</v>
      </c>
      <c r="B473" s="216"/>
      <c r="C473" s="216"/>
      <c r="D473" s="216"/>
      <c r="E473" s="216" t="s">
        <v>1214</v>
      </c>
      <c r="F473" s="226" t="s">
        <v>1215</v>
      </c>
      <c r="G473" s="227"/>
      <c r="H473" s="227"/>
      <c r="I473" s="216"/>
      <c r="J473" s="225">
        <v>1400</v>
      </c>
      <c r="K473" s="228">
        <v>4.8726851851851856E-3</v>
      </c>
      <c r="L473" s="225" t="s">
        <v>1162</v>
      </c>
      <c r="M473" s="219"/>
      <c r="N473" s="219"/>
      <c r="O473" s="216"/>
      <c r="P473" s="216"/>
      <c r="Q473" s="216"/>
      <c r="R473" s="220"/>
      <c r="S473" s="220"/>
      <c r="T473" s="220"/>
      <c r="U473" s="230"/>
      <c r="V473" s="231"/>
      <c r="W473" s="232"/>
      <c r="X473" s="233"/>
      <c r="Y473" s="219"/>
      <c r="Z473" s="219"/>
    </row>
    <row r="474" spans="1:26" ht="15.75" thickBot="1">
      <c r="A474" s="225">
        <v>312</v>
      </c>
      <c r="B474" s="216"/>
      <c r="C474" s="216"/>
      <c r="D474" s="216"/>
      <c r="E474" s="216" t="s">
        <v>1216</v>
      </c>
      <c r="F474" s="226" t="s">
        <v>1217</v>
      </c>
      <c r="G474" s="227"/>
      <c r="H474" s="227"/>
      <c r="I474" s="216"/>
      <c r="J474" s="225">
        <v>1400</v>
      </c>
      <c r="K474" s="228">
        <v>8.7499999999999991E-3</v>
      </c>
      <c r="L474" s="225" t="s">
        <v>1162</v>
      </c>
      <c r="M474" s="219"/>
      <c r="N474" s="219"/>
      <c r="O474" s="216"/>
      <c r="P474" s="216"/>
      <c r="Q474" s="216"/>
      <c r="R474" s="220"/>
      <c r="S474" s="220"/>
      <c r="T474" s="220"/>
      <c r="U474" s="230"/>
      <c r="V474" s="231"/>
      <c r="W474" s="232"/>
      <c r="X474" s="233"/>
      <c r="Y474" s="219"/>
      <c r="Z474" s="219"/>
    </row>
    <row r="475" spans="1:26" ht="15.75" thickBot="1">
      <c r="A475" s="225">
        <v>313</v>
      </c>
      <c r="B475" s="216"/>
      <c r="C475" s="216"/>
      <c r="D475" s="216"/>
      <c r="E475" s="216" t="s">
        <v>1218</v>
      </c>
      <c r="F475" s="226" t="s">
        <v>1219</v>
      </c>
      <c r="G475" s="227"/>
      <c r="H475" s="227"/>
      <c r="I475" s="216"/>
      <c r="J475" s="225">
        <v>3500</v>
      </c>
      <c r="K475" s="228">
        <v>1.1180555555555556E-2</v>
      </c>
      <c r="L475" s="225" t="s">
        <v>1162</v>
      </c>
      <c r="M475" s="219"/>
      <c r="N475" s="219"/>
      <c r="O475" s="216"/>
      <c r="P475" s="216"/>
      <c r="Q475" s="216"/>
      <c r="R475" s="220"/>
      <c r="S475" s="220"/>
      <c r="T475" s="220"/>
      <c r="U475" s="230"/>
      <c r="V475" s="231"/>
      <c r="W475" s="232"/>
      <c r="X475" s="233"/>
      <c r="Y475" s="219"/>
      <c r="Z475" s="219"/>
    </row>
    <row r="476" spans="1:26" ht="15.75" thickBot="1">
      <c r="A476" s="225">
        <v>314</v>
      </c>
      <c r="B476" s="216"/>
      <c r="C476" s="216"/>
      <c r="D476" s="216"/>
      <c r="E476" s="216" t="s">
        <v>1220</v>
      </c>
      <c r="F476" s="226" t="s">
        <v>1221</v>
      </c>
      <c r="G476" s="227"/>
      <c r="H476" s="227"/>
      <c r="I476" s="216"/>
      <c r="J476" s="225">
        <v>2600</v>
      </c>
      <c r="K476" s="228">
        <v>2.4664351851851851E-2</v>
      </c>
      <c r="L476" s="225" t="s">
        <v>1162</v>
      </c>
      <c r="M476" s="219"/>
      <c r="N476" s="219"/>
      <c r="O476" s="216"/>
      <c r="P476" s="216"/>
      <c r="Q476" s="216"/>
      <c r="R476" s="220"/>
      <c r="S476" s="220"/>
      <c r="T476" s="220"/>
      <c r="U476" s="230"/>
      <c r="V476" s="231"/>
      <c r="W476" s="232"/>
      <c r="X476" s="233"/>
      <c r="Y476" s="219"/>
      <c r="Z476" s="219"/>
    </row>
    <row r="477" spans="1:26" ht="15.75" thickBot="1">
      <c r="A477" s="225">
        <v>315</v>
      </c>
      <c r="B477" s="216"/>
      <c r="C477" s="216"/>
      <c r="D477" s="216"/>
      <c r="E477" s="216" t="s">
        <v>1222</v>
      </c>
      <c r="F477" s="226" t="s">
        <v>1223</v>
      </c>
      <c r="G477" s="227"/>
      <c r="H477" s="227"/>
      <c r="I477" s="216"/>
      <c r="J477" s="225">
        <v>2900</v>
      </c>
      <c r="K477" s="228">
        <v>2.2835648148148147E-2</v>
      </c>
      <c r="L477" s="225" t="s">
        <v>1162</v>
      </c>
      <c r="M477" s="219"/>
      <c r="N477" s="219"/>
      <c r="O477" s="216"/>
      <c r="P477" s="216"/>
      <c r="Q477" s="216"/>
      <c r="R477" s="220"/>
      <c r="S477" s="220"/>
      <c r="T477" s="220"/>
      <c r="U477" s="230"/>
      <c r="V477" s="231"/>
      <c r="W477" s="232"/>
      <c r="X477" s="233"/>
      <c r="Y477" s="219"/>
      <c r="Z477" s="219"/>
    </row>
    <row r="478" spans="1:26" ht="15.75" thickBot="1">
      <c r="A478" s="225">
        <v>316</v>
      </c>
      <c r="B478" s="216"/>
      <c r="C478" s="216"/>
      <c r="D478" s="216"/>
      <c r="E478" s="216" t="s">
        <v>1224</v>
      </c>
      <c r="F478" s="226" t="s">
        <v>1225</v>
      </c>
      <c r="G478" s="227"/>
      <c r="H478" s="227"/>
      <c r="I478" s="216"/>
      <c r="J478" s="225">
        <v>6000</v>
      </c>
      <c r="K478" s="228">
        <v>2.0949074074074075E-2</v>
      </c>
      <c r="L478" s="225" t="s">
        <v>1162</v>
      </c>
      <c r="M478" s="219"/>
      <c r="N478" s="219"/>
      <c r="O478" s="216"/>
      <c r="P478" s="216"/>
      <c r="Q478" s="216"/>
      <c r="R478" s="220"/>
      <c r="S478" s="220"/>
      <c r="T478" s="220"/>
      <c r="U478" s="230"/>
      <c r="V478" s="231"/>
      <c r="W478" s="232"/>
      <c r="X478" s="233"/>
      <c r="Y478" s="219"/>
      <c r="Z478" s="219"/>
    </row>
    <row r="479" spans="1:26" ht="15.75" thickBot="1">
      <c r="A479" s="225">
        <v>317</v>
      </c>
      <c r="B479" s="216"/>
      <c r="C479" s="216"/>
      <c r="D479" s="216"/>
      <c r="E479" s="216" t="s">
        <v>1226</v>
      </c>
      <c r="F479" s="226" t="s">
        <v>1227</v>
      </c>
      <c r="G479" s="227"/>
      <c r="H479" s="227"/>
      <c r="I479" s="216"/>
      <c r="J479" s="225">
        <v>3000</v>
      </c>
      <c r="K479" s="228">
        <v>1.1597222222222222E-2</v>
      </c>
      <c r="L479" s="225" t="s">
        <v>1162</v>
      </c>
      <c r="M479" s="219"/>
      <c r="N479" s="219"/>
      <c r="O479" s="216"/>
      <c r="P479" s="216"/>
      <c r="Q479" s="216"/>
      <c r="R479" s="220"/>
      <c r="S479" s="220"/>
      <c r="T479" s="220"/>
      <c r="U479" s="230"/>
      <c r="V479" s="231"/>
      <c r="W479" s="232"/>
      <c r="X479" s="233"/>
      <c r="Y479" s="219"/>
      <c r="Z479" s="219"/>
    </row>
    <row r="480" spans="1:26" ht="15.75" thickBot="1">
      <c r="A480" s="225">
        <v>318</v>
      </c>
      <c r="B480" s="216"/>
      <c r="C480" s="216"/>
      <c r="D480" s="216"/>
      <c r="E480" s="216" t="s">
        <v>1228</v>
      </c>
      <c r="F480" s="226" t="s">
        <v>1229</v>
      </c>
      <c r="G480" s="227"/>
      <c r="H480" s="227"/>
      <c r="I480" s="216"/>
      <c r="J480" s="225">
        <v>70000</v>
      </c>
      <c r="K480" s="228">
        <v>6.6006944444444438E-2</v>
      </c>
      <c r="L480" s="225" t="s">
        <v>1162</v>
      </c>
      <c r="M480" s="219"/>
      <c r="N480" s="219"/>
      <c r="O480" s="216"/>
      <c r="P480" s="216"/>
      <c r="Q480" s="216"/>
      <c r="R480" s="220"/>
      <c r="S480" s="220"/>
      <c r="T480" s="220"/>
      <c r="U480" s="230"/>
      <c r="V480" s="231"/>
      <c r="W480" s="232"/>
      <c r="X480" s="233"/>
      <c r="Y480" s="219"/>
      <c r="Z480" s="219"/>
    </row>
    <row r="481" spans="1:26" ht="15.75" thickBot="1">
      <c r="A481" s="225">
        <v>319</v>
      </c>
      <c r="B481" s="216"/>
      <c r="C481" s="216"/>
      <c r="D481" s="216"/>
      <c r="E481" s="216" t="s">
        <v>1230</v>
      </c>
      <c r="F481" s="226" t="s">
        <v>1231</v>
      </c>
      <c r="G481" s="227"/>
      <c r="H481" s="227"/>
      <c r="I481" s="216"/>
      <c r="J481" s="225">
        <v>28000</v>
      </c>
      <c r="K481" s="228">
        <v>9.2581018518518521E-2</v>
      </c>
      <c r="L481" s="225" t="s">
        <v>1162</v>
      </c>
      <c r="M481" s="219"/>
      <c r="N481" s="219"/>
      <c r="O481" s="216"/>
      <c r="P481" s="216"/>
      <c r="Q481" s="216"/>
      <c r="R481" s="220"/>
      <c r="S481" s="220"/>
      <c r="T481" s="220"/>
      <c r="U481" s="230"/>
      <c r="V481" s="231"/>
      <c r="W481" s="232"/>
      <c r="X481" s="233"/>
      <c r="Y481" s="219"/>
      <c r="Z481" s="219"/>
    </row>
    <row r="482" spans="1:26" ht="15.75" thickBot="1">
      <c r="A482" s="225">
        <v>320</v>
      </c>
      <c r="B482" s="216"/>
      <c r="C482" s="216"/>
      <c r="D482" s="216"/>
      <c r="E482" s="216" t="s">
        <v>1232</v>
      </c>
      <c r="F482" s="226" t="s">
        <v>1233</v>
      </c>
      <c r="G482" s="227"/>
      <c r="H482" s="227"/>
      <c r="I482" s="216"/>
      <c r="J482" s="225">
        <v>1900</v>
      </c>
      <c r="K482" s="228">
        <v>2.4652777777777776E-3</v>
      </c>
      <c r="L482" s="225" t="s">
        <v>1162</v>
      </c>
      <c r="M482" s="219"/>
      <c r="N482" s="219"/>
      <c r="O482" s="216"/>
      <c r="P482" s="216"/>
      <c r="Q482" s="216"/>
      <c r="R482" s="220"/>
      <c r="S482" s="220"/>
      <c r="T482" s="220"/>
      <c r="U482" s="230"/>
      <c r="V482" s="231"/>
      <c r="W482" s="232"/>
      <c r="X482" s="233"/>
      <c r="Y482" s="219"/>
      <c r="Z482" s="219"/>
    </row>
    <row r="483" spans="1:26" ht="15.75" thickBot="1">
      <c r="A483" s="225">
        <v>321</v>
      </c>
      <c r="B483" s="216"/>
      <c r="C483" s="216"/>
      <c r="D483" s="216"/>
      <c r="E483" s="216" t="s">
        <v>1234</v>
      </c>
      <c r="F483" s="226" t="s">
        <v>1235</v>
      </c>
      <c r="G483" s="227"/>
      <c r="H483" s="227"/>
      <c r="I483" s="216"/>
      <c r="J483" s="225">
        <v>2100</v>
      </c>
      <c r="K483" s="228">
        <v>1.712962962962963E-3</v>
      </c>
      <c r="L483" s="225" t="s">
        <v>1162</v>
      </c>
      <c r="M483" s="219"/>
      <c r="N483" s="219"/>
      <c r="O483" s="216"/>
      <c r="P483" s="216"/>
      <c r="Q483" s="216"/>
      <c r="R483" s="220"/>
      <c r="S483" s="220"/>
      <c r="T483" s="220"/>
      <c r="U483" s="230"/>
      <c r="V483" s="231"/>
      <c r="W483" s="232"/>
      <c r="X483" s="233"/>
      <c r="Y483" s="219"/>
      <c r="Z483" s="219"/>
    </row>
    <row r="484" spans="1:26" ht="15.75" thickBot="1">
      <c r="A484" s="225">
        <v>322</v>
      </c>
      <c r="B484" s="216"/>
      <c r="C484" s="216"/>
      <c r="D484" s="216"/>
      <c r="E484" s="216" t="s">
        <v>1236</v>
      </c>
      <c r="F484" s="226" t="s">
        <v>1237</v>
      </c>
      <c r="G484" s="227"/>
      <c r="H484" s="227"/>
      <c r="I484" s="216"/>
      <c r="J484" s="225">
        <v>7600</v>
      </c>
      <c r="K484" s="228">
        <v>3.4490740740740745E-3</v>
      </c>
      <c r="L484" s="225" t="s">
        <v>1162</v>
      </c>
      <c r="M484" s="219"/>
      <c r="N484" s="219"/>
      <c r="O484" s="216"/>
      <c r="P484" s="216"/>
      <c r="Q484" s="216"/>
      <c r="R484" s="220"/>
      <c r="S484" s="220"/>
      <c r="T484" s="220"/>
      <c r="U484" s="230"/>
      <c r="V484" s="231"/>
      <c r="W484" s="232"/>
      <c r="X484" s="233"/>
      <c r="Y484" s="219"/>
      <c r="Z484" s="219"/>
    </row>
    <row r="485" spans="1:26" ht="15.75" thickBot="1">
      <c r="A485" s="225">
        <v>323</v>
      </c>
      <c r="B485" s="216"/>
      <c r="C485" s="216"/>
      <c r="D485" s="216"/>
      <c r="E485" s="216" t="s">
        <v>1238</v>
      </c>
      <c r="F485" s="226" t="s">
        <v>1239</v>
      </c>
      <c r="G485" s="227"/>
      <c r="H485" s="227"/>
      <c r="I485" s="216"/>
      <c r="J485" s="225">
        <v>944</v>
      </c>
      <c r="K485" s="228">
        <v>9.479166666666667E-3</v>
      </c>
      <c r="L485" s="225" t="s">
        <v>1162</v>
      </c>
      <c r="M485" s="219"/>
      <c r="N485" s="219"/>
      <c r="O485" s="216"/>
      <c r="P485" s="216"/>
      <c r="Q485" s="216"/>
      <c r="R485" s="220"/>
      <c r="S485" s="220"/>
      <c r="T485" s="220"/>
      <c r="U485" s="230"/>
      <c r="V485" s="231"/>
      <c r="W485" s="232"/>
      <c r="X485" s="233"/>
      <c r="Y485" s="219"/>
      <c r="Z485" s="219"/>
    </row>
    <row r="486" spans="1:26" ht="15.75" thickBot="1">
      <c r="A486" s="225">
        <v>324</v>
      </c>
      <c r="B486" s="216"/>
      <c r="C486" s="216"/>
      <c r="D486" s="216"/>
      <c r="E486" s="216" t="s">
        <v>1240</v>
      </c>
      <c r="F486" s="226" t="s">
        <v>1241</v>
      </c>
      <c r="G486" s="227"/>
      <c r="H486" s="227"/>
      <c r="I486" s="216"/>
      <c r="J486" s="225">
        <v>545</v>
      </c>
      <c r="K486" s="228">
        <v>1.5972222222222221E-3</v>
      </c>
      <c r="L486" s="225" t="s">
        <v>1162</v>
      </c>
      <c r="M486" s="219"/>
      <c r="N486" s="219"/>
      <c r="O486" s="216"/>
      <c r="P486" s="216"/>
      <c r="Q486" s="216"/>
      <c r="R486" s="220"/>
      <c r="S486" s="220"/>
      <c r="T486" s="220"/>
      <c r="U486" s="230"/>
      <c r="V486" s="231"/>
      <c r="W486" s="232"/>
      <c r="X486" s="233"/>
      <c r="Y486" s="219"/>
      <c r="Z486" s="219"/>
    </row>
    <row r="487" spans="1:26" ht="15.75" thickBot="1">
      <c r="A487" s="225">
        <v>325</v>
      </c>
      <c r="B487" s="216"/>
      <c r="C487" s="216"/>
      <c r="D487" s="216"/>
      <c r="E487" s="216" t="s">
        <v>1242</v>
      </c>
      <c r="F487" s="226" t="s">
        <v>1243</v>
      </c>
      <c r="G487" s="227"/>
      <c r="H487" s="227"/>
      <c r="I487" s="216"/>
      <c r="J487" s="225">
        <v>626</v>
      </c>
      <c r="K487" s="228">
        <v>1.5740740740740741E-3</v>
      </c>
      <c r="L487" s="225" t="s">
        <v>1162</v>
      </c>
      <c r="M487" s="219"/>
      <c r="N487" s="219"/>
      <c r="O487" s="216"/>
      <c r="P487" s="216"/>
      <c r="Q487" s="216"/>
      <c r="R487" s="220"/>
      <c r="S487" s="220"/>
      <c r="T487" s="220"/>
      <c r="U487" s="230"/>
      <c r="V487" s="231"/>
      <c r="W487" s="232"/>
      <c r="X487" s="233"/>
      <c r="Y487" s="219"/>
      <c r="Z487" s="219"/>
    </row>
    <row r="488" spans="1:26" ht="15.75" thickBot="1">
      <c r="A488" s="225">
        <v>326</v>
      </c>
      <c r="B488" s="216"/>
      <c r="C488" s="216"/>
      <c r="D488" s="216"/>
      <c r="E488" s="216" t="s">
        <v>1244</v>
      </c>
      <c r="F488" s="226" t="s">
        <v>1245</v>
      </c>
      <c r="G488" s="227"/>
      <c r="H488" s="227"/>
      <c r="I488" s="216"/>
      <c r="J488" s="225">
        <v>1500</v>
      </c>
      <c r="K488" s="228">
        <v>5.4861111111111117E-3</v>
      </c>
      <c r="L488" s="225" t="s">
        <v>1162</v>
      </c>
      <c r="M488" s="219"/>
      <c r="N488" s="219"/>
      <c r="O488" s="216"/>
      <c r="P488" s="216"/>
      <c r="Q488" s="216"/>
      <c r="R488" s="220"/>
      <c r="S488" s="220"/>
      <c r="T488" s="220"/>
      <c r="U488" s="230"/>
      <c r="V488" s="231"/>
      <c r="W488" s="232"/>
      <c r="X488" s="233"/>
      <c r="Y488" s="219"/>
      <c r="Z488" s="219"/>
    </row>
    <row r="489" spans="1:26" ht="15.75" thickBot="1">
      <c r="A489" s="225">
        <v>327</v>
      </c>
      <c r="B489" s="216"/>
      <c r="C489" s="216"/>
      <c r="D489" s="216"/>
      <c r="E489" s="216" t="s">
        <v>1246</v>
      </c>
      <c r="F489" s="226" t="s">
        <v>1247</v>
      </c>
      <c r="G489" s="227"/>
      <c r="H489" s="227"/>
      <c r="I489" s="216"/>
      <c r="J489" s="225">
        <v>1600</v>
      </c>
      <c r="K489" s="228">
        <v>5.0694444444444441E-3</v>
      </c>
      <c r="L489" s="225" t="s">
        <v>1162</v>
      </c>
      <c r="M489" s="219"/>
      <c r="N489" s="219"/>
      <c r="O489" s="216"/>
      <c r="P489" s="216"/>
      <c r="Q489" s="216"/>
      <c r="R489" s="220"/>
      <c r="S489" s="220"/>
      <c r="T489" s="220"/>
      <c r="U489" s="230"/>
      <c r="V489" s="231"/>
      <c r="W489" s="232"/>
      <c r="X489" s="233"/>
      <c r="Y489" s="219"/>
      <c r="Z489" s="219"/>
    </row>
    <row r="490" spans="1:26" ht="15.75" thickBot="1">
      <c r="A490" s="225">
        <v>328</v>
      </c>
      <c r="B490" s="216"/>
      <c r="C490" s="216"/>
      <c r="D490" s="216"/>
      <c r="E490" s="216" t="s">
        <v>1248</v>
      </c>
      <c r="F490" s="226" t="s">
        <v>1249</v>
      </c>
      <c r="G490" s="227"/>
      <c r="H490" s="227"/>
      <c r="I490" s="216"/>
      <c r="J490" s="225">
        <v>16000</v>
      </c>
      <c r="K490" s="228">
        <v>6.0740740740740741E-2</v>
      </c>
      <c r="L490" s="225" t="s">
        <v>1162</v>
      </c>
      <c r="M490" s="219"/>
      <c r="N490" s="219"/>
      <c r="O490" s="216"/>
      <c r="P490" s="216"/>
      <c r="Q490" s="216"/>
      <c r="R490" s="220"/>
      <c r="S490" s="220"/>
      <c r="T490" s="220"/>
      <c r="U490" s="230"/>
      <c r="V490" s="231"/>
      <c r="W490" s="232"/>
      <c r="X490" s="233"/>
      <c r="Y490" s="219"/>
      <c r="Z490" s="219"/>
    </row>
    <row r="491" spans="1:26" ht="15.75" thickBot="1">
      <c r="A491" s="225">
        <v>329</v>
      </c>
      <c r="B491" s="216"/>
      <c r="C491" s="216"/>
      <c r="D491" s="216"/>
      <c r="E491" s="216" t="s">
        <v>1250</v>
      </c>
      <c r="F491" s="226" t="s">
        <v>1251</v>
      </c>
      <c r="G491" s="227"/>
      <c r="H491" s="227"/>
      <c r="I491" s="216"/>
      <c r="J491" s="225">
        <v>1500</v>
      </c>
      <c r="K491" s="228">
        <v>2.0023148148148148E-3</v>
      </c>
      <c r="L491" s="225" t="s">
        <v>1162</v>
      </c>
      <c r="M491" s="219"/>
      <c r="N491" s="219"/>
      <c r="O491" s="216"/>
      <c r="P491" s="216"/>
      <c r="Q491" s="216"/>
      <c r="R491" s="220"/>
      <c r="S491" s="220"/>
      <c r="T491" s="220"/>
      <c r="U491" s="230"/>
      <c r="V491" s="231"/>
      <c r="W491" s="232"/>
      <c r="X491" s="233"/>
      <c r="Y491" s="219"/>
      <c r="Z491" s="219"/>
    </row>
    <row r="492" spans="1:26" ht="15.75" thickBot="1">
      <c r="A492" s="225">
        <v>330</v>
      </c>
      <c r="B492" s="216"/>
      <c r="C492" s="216"/>
      <c r="D492" s="216"/>
      <c r="E492" s="216" t="s">
        <v>1252</v>
      </c>
      <c r="F492" s="226" t="s">
        <v>1253</v>
      </c>
      <c r="G492" s="227"/>
      <c r="H492" s="227"/>
      <c r="I492" s="216"/>
      <c r="J492" s="225">
        <v>1200</v>
      </c>
      <c r="K492" s="228">
        <v>7.8703703703703705E-4</v>
      </c>
      <c r="L492" s="225" t="s">
        <v>1162</v>
      </c>
      <c r="M492" s="219"/>
      <c r="N492" s="219"/>
      <c r="O492" s="216"/>
      <c r="P492" s="216"/>
      <c r="Q492" s="216"/>
      <c r="R492" s="220"/>
      <c r="S492" s="220"/>
      <c r="T492" s="220"/>
      <c r="U492" s="230"/>
      <c r="V492" s="231"/>
      <c r="W492" s="232"/>
      <c r="X492" s="233"/>
      <c r="Y492" s="219"/>
      <c r="Z492" s="219"/>
    </row>
    <row r="493" spans="1:26" ht="15.75" thickBot="1">
      <c r="A493" s="225">
        <v>331</v>
      </c>
      <c r="B493" s="216"/>
      <c r="C493" s="216"/>
      <c r="D493" s="216"/>
      <c r="E493" s="216" t="s">
        <v>1254</v>
      </c>
      <c r="F493" s="226" t="s">
        <v>1255</v>
      </c>
      <c r="G493" s="227"/>
      <c r="H493" s="227"/>
      <c r="I493" s="216"/>
      <c r="J493" s="225">
        <v>9300</v>
      </c>
      <c r="K493" s="228">
        <v>6.2499999999999995E-3</v>
      </c>
      <c r="L493" s="225" t="s">
        <v>1162</v>
      </c>
      <c r="M493" s="219"/>
      <c r="N493" s="219"/>
      <c r="O493" s="216"/>
      <c r="P493" s="216"/>
      <c r="Q493" s="216"/>
      <c r="R493" s="220"/>
      <c r="S493" s="220"/>
      <c r="T493" s="220"/>
      <c r="U493" s="230"/>
      <c r="V493" s="231"/>
      <c r="W493" s="232"/>
      <c r="X493" s="233"/>
      <c r="Y493" s="219"/>
      <c r="Z493" s="219"/>
    </row>
    <row r="494" spans="1:26" ht="15.75" thickBot="1">
      <c r="A494" s="225">
        <v>332</v>
      </c>
      <c r="B494" s="216"/>
      <c r="C494" s="216"/>
      <c r="D494" s="216"/>
      <c r="E494" s="216" t="s">
        <v>1256</v>
      </c>
      <c r="F494" s="226" t="s">
        <v>1257</v>
      </c>
      <c r="G494" s="227"/>
      <c r="H494" s="227"/>
      <c r="I494" s="216"/>
      <c r="J494" s="225">
        <v>265</v>
      </c>
      <c r="K494" s="228">
        <v>2.7199074074074074E-3</v>
      </c>
      <c r="L494" s="225" t="s">
        <v>1162</v>
      </c>
      <c r="M494" s="219"/>
      <c r="N494" s="219"/>
      <c r="O494" s="216"/>
      <c r="P494" s="216"/>
      <c r="Q494" s="216"/>
      <c r="R494" s="220"/>
      <c r="S494" s="220"/>
      <c r="T494" s="220"/>
      <c r="U494" s="230"/>
      <c r="V494" s="231"/>
      <c r="W494" s="232"/>
      <c r="X494" s="233"/>
      <c r="Y494" s="219"/>
      <c r="Z494" s="219"/>
    </row>
    <row r="495" spans="1:26" ht="15.75" thickBot="1">
      <c r="A495" s="225">
        <v>333</v>
      </c>
      <c r="B495" s="216"/>
      <c r="C495" s="216"/>
      <c r="D495" s="216"/>
      <c r="E495" s="216" t="s">
        <v>1258</v>
      </c>
      <c r="F495" s="226" t="s">
        <v>1259</v>
      </c>
      <c r="G495" s="227"/>
      <c r="H495" s="227"/>
      <c r="I495" s="216"/>
      <c r="J495" s="225">
        <v>238</v>
      </c>
      <c r="K495" s="228">
        <v>2.6041666666666665E-3</v>
      </c>
      <c r="L495" s="225" t="s">
        <v>1162</v>
      </c>
      <c r="M495" s="219"/>
      <c r="N495" s="219"/>
      <c r="O495" s="216"/>
      <c r="P495" s="216"/>
      <c r="Q495" s="216"/>
      <c r="R495" s="220"/>
      <c r="S495" s="220"/>
      <c r="T495" s="220"/>
      <c r="U495" s="230"/>
      <c r="V495" s="231"/>
      <c r="W495" s="232"/>
      <c r="X495" s="233"/>
      <c r="Y495" s="219"/>
      <c r="Z495" s="219"/>
    </row>
    <row r="496" spans="1:26" ht="15.75" thickBot="1">
      <c r="A496" s="225">
        <v>334</v>
      </c>
      <c r="B496" s="216"/>
      <c r="C496" s="216"/>
      <c r="D496" s="216"/>
      <c r="E496" s="216" t="s">
        <v>1260</v>
      </c>
      <c r="F496" s="226" t="s">
        <v>1261</v>
      </c>
      <c r="G496" s="227"/>
      <c r="H496" s="227"/>
      <c r="I496" s="216"/>
      <c r="J496" s="225">
        <v>585</v>
      </c>
      <c r="K496" s="228">
        <v>7.8125E-3</v>
      </c>
      <c r="L496" s="225" t="s">
        <v>1162</v>
      </c>
      <c r="M496" s="219"/>
      <c r="N496" s="219"/>
      <c r="O496" s="216"/>
      <c r="P496" s="216"/>
      <c r="Q496" s="216"/>
      <c r="R496" s="220"/>
      <c r="S496" s="220"/>
      <c r="T496" s="220"/>
      <c r="U496" s="230"/>
      <c r="V496" s="231"/>
      <c r="W496" s="232"/>
      <c r="X496" s="233"/>
      <c r="Y496" s="219"/>
      <c r="Z496" s="219"/>
    </row>
    <row r="497" spans="1:26" ht="15.75" thickBot="1">
      <c r="A497" s="225">
        <v>335</v>
      </c>
      <c r="B497" s="216"/>
      <c r="C497" s="216"/>
      <c r="D497" s="216"/>
      <c r="E497" s="216" t="s">
        <v>1262</v>
      </c>
      <c r="F497" s="226" t="s">
        <v>1263</v>
      </c>
      <c r="G497" s="227"/>
      <c r="H497" s="227"/>
      <c r="I497" s="216"/>
      <c r="J497" s="225">
        <v>8800</v>
      </c>
      <c r="K497" s="228">
        <v>3.9328703703703706E-2</v>
      </c>
      <c r="L497" s="225" t="s">
        <v>1162</v>
      </c>
      <c r="M497" s="219"/>
      <c r="N497" s="219"/>
      <c r="O497" s="216"/>
      <c r="P497" s="216"/>
      <c r="Q497" s="216"/>
      <c r="R497" s="220"/>
      <c r="S497" s="220"/>
      <c r="T497" s="220"/>
      <c r="U497" s="230"/>
      <c r="V497" s="231"/>
      <c r="W497" s="232"/>
      <c r="X497" s="233"/>
      <c r="Y497" s="219"/>
      <c r="Z497" s="219"/>
    </row>
    <row r="498" spans="1:26" ht="15.75" thickBot="1">
      <c r="A498" s="225">
        <v>336</v>
      </c>
      <c r="B498" s="216"/>
      <c r="C498" s="216"/>
      <c r="D498" s="216"/>
      <c r="E498" s="216" t="s">
        <v>1264</v>
      </c>
      <c r="F498" s="226" t="s">
        <v>1265</v>
      </c>
      <c r="G498" s="227"/>
      <c r="H498" s="227"/>
      <c r="I498" s="216"/>
      <c r="J498" s="225">
        <v>2200</v>
      </c>
      <c r="K498" s="228">
        <v>2.6388888888888885E-3</v>
      </c>
      <c r="L498" s="225" t="s">
        <v>1162</v>
      </c>
      <c r="M498" s="219"/>
      <c r="N498" s="219"/>
      <c r="O498" s="216"/>
      <c r="P498" s="216"/>
      <c r="Q498" s="216"/>
      <c r="R498" s="220"/>
      <c r="S498" s="220"/>
      <c r="T498" s="220"/>
      <c r="U498" s="230"/>
      <c r="V498" s="231"/>
      <c r="W498" s="232"/>
      <c r="X498" s="233"/>
      <c r="Y498" s="219"/>
      <c r="Z498" s="219"/>
    </row>
    <row r="499" spans="1:26" ht="15.75" thickBot="1">
      <c r="A499" s="225">
        <v>337</v>
      </c>
      <c r="B499" s="216"/>
      <c r="C499" s="216"/>
      <c r="D499" s="216"/>
      <c r="E499" s="216" t="s">
        <v>1266</v>
      </c>
      <c r="F499" s="226" t="s">
        <v>1267</v>
      </c>
      <c r="G499" s="227"/>
      <c r="H499" s="227"/>
      <c r="I499" s="216"/>
      <c r="J499" s="225">
        <v>3300</v>
      </c>
      <c r="K499" s="228">
        <v>7.5069444444444453E-2</v>
      </c>
      <c r="L499" s="225" t="s">
        <v>1162</v>
      </c>
      <c r="M499" s="219"/>
      <c r="N499" s="219"/>
      <c r="O499" s="216"/>
      <c r="P499" s="216"/>
      <c r="Q499" s="216"/>
      <c r="R499" s="220"/>
      <c r="S499" s="220"/>
      <c r="T499" s="220"/>
      <c r="U499" s="230"/>
      <c r="V499" s="231"/>
      <c r="W499" s="232"/>
      <c r="X499" s="233"/>
      <c r="Y499" s="219"/>
      <c r="Z499" s="219"/>
    </row>
    <row r="500" spans="1:26" ht="15.75" thickBot="1">
      <c r="A500" s="225">
        <v>338</v>
      </c>
      <c r="B500" s="216"/>
      <c r="C500" s="216"/>
      <c r="D500" s="216"/>
      <c r="E500" s="216" t="s">
        <v>1268</v>
      </c>
      <c r="F500" s="226" t="s">
        <v>1269</v>
      </c>
      <c r="G500" s="227"/>
      <c r="H500" s="227"/>
      <c r="I500" s="216"/>
      <c r="J500" s="225">
        <v>828</v>
      </c>
      <c r="K500" s="228">
        <v>2.5000000000000001E-3</v>
      </c>
      <c r="L500" s="225" t="s">
        <v>1162</v>
      </c>
      <c r="M500" s="219"/>
      <c r="N500" s="219"/>
      <c r="O500" s="216"/>
      <c r="P500" s="216"/>
      <c r="Q500" s="216"/>
      <c r="R500" s="220"/>
      <c r="S500" s="220"/>
      <c r="T500" s="220"/>
      <c r="U500" s="230"/>
      <c r="V500" s="231"/>
      <c r="W500" s="232"/>
      <c r="X500" s="233"/>
      <c r="Y500" s="219"/>
      <c r="Z500" s="219"/>
    </row>
    <row r="501" spans="1:26" ht="15.75" thickBot="1">
      <c r="A501" s="225">
        <v>339</v>
      </c>
      <c r="B501" s="216"/>
      <c r="C501" s="216"/>
      <c r="D501" s="216"/>
      <c r="E501" s="216" t="s">
        <v>1270</v>
      </c>
      <c r="F501" s="226" t="s">
        <v>1271</v>
      </c>
      <c r="G501" s="227"/>
      <c r="H501" s="227"/>
      <c r="I501" s="216"/>
      <c r="J501" s="225">
        <v>1200</v>
      </c>
      <c r="K501" s="228">
        <v>9.8379629629629642E-4</v>
      </c>
      <c r="L501" s="225" t="s">
        <v>1162</v>
      </c>
      <c r="M501" s="219"/>
      <c r="N501" s="219"/>
      <c r="O501" s="216"/>
      <c r="P501" s="216"/>
      <c r="Q501" s="216"/>
      <c r="R501" s="220"/>
      <c r="S501" s="220"/>
      <c r="T501" s="220"/>
      <c r="U501" s="230"/>
      <c r="V501" s="231"/>
      <c r="W501" s="232"/>
      <c r="X501" s="233"/>
      <c r="Y501" s="219"/>
      <c r="Z501" s="219"/>
    </row>
    <row r="502" spans="1:26" ht="15.75" thickBot="1">
      <c r="A502" s="225">
        <v>340</v>
      </c>
      <c r="B502" s="216"/>
      <c r="C502" s="216"/>
      <c r="D502" s="216"/>
      <c r="E502" s="216" t="s">
        <v>1272</v>
      </c>
      <c r="F502" s="226" t="s">
        <v>1273</v>
      </c>
      <c r="G502" s="227"/>
      <c r="H502" s="227"/>
      <c r="I502" s="216"/>
      <c r="J502" s="225">
        <v>3700</v>
      </c>
      <c r="K502" s="228">
        <v>7.0636574074074074E-2</v>
      </c>
      <c r="L502" s="225" t="s">
        <v>1162</v>
      </c>
      <c r="M502" s="219"/>
      <c r="N502" s="219"/>
      <c r="O502" s="216"/>
      <c r="P502" s="216"/>
      <c r="Q502" s="216"/>
      <c r="R502" s="220"/>
      <c r="S502" s="220"/>
      <c r="T502" s="220"/>
      <c r="U502" s="230"/>
      <c r="V502" s="231"/>
      <c r="W502" s="232"/>
      <c r="X502" s="233"/>
      <c r="Y502" s="219"/>
      <c r="Z502" s="219"/>
    </row>
    <row r="503" spans="1:26" ht="15.75" thickBot="1">
      <c r="A503" s="225">
        <v>341</v>
      </c>
      <c r="B503" s="216"/>
      <c r="C503" s="216"/>
      <c r="D503" s="216"/>
      <c r="E503" s="216" t="s">
        <v>1274</v>
      </c>
      <c r="F503" s="226" t="s">
        <v>1275</v>
      </c>
      <c r="G503" s="227"/>
      <c r="H503" s="227"/>
      <c r="I503" s="216"/>
      <c r="J503" s="225">
        <v>6800</v>
      </c>
      <c r="K503" s="228">
        <v>1.2453703703703703E-2</v>
      </c>
      <c r="L503" s="225" t="s">
        <v>1162</v>
      </c>
      <c r="M503" s="219"/>
      <c r="N503" s="219"/>
      <c r="O503" s="216"/>
      <c r="P503" s="216"/>
      <c r="Q503" s="216"/>
      <c r="R503" s="220"/>
      <c r="S503" s="220"/>
      <c r="T503" s="220"/>
      <c r="U503" s="230"/>
      <c r="V503" s="231"/>
      <c r="W503" s="232"/>
      <c r="X503" s="233"/>
      <c r="Y503" s="219"/>
      <c r="Z503" s="219"/>
    </row>
    <row r="504" spans="1:26" ht="15.75" thickBot="1">
      <c r="A504" s="225">
        <v>342</v>
      </c>
      <c r="B504" s="216"/>
      <c r="C504" s="216"/>
      <c r="D504" s="216"/>
      <c r="E504" s="216" t="s">
        <v>1276</v>
      </c>
      <c r="F504" s="226" t="s">
        <v>1277</v>
      </c>
      <c r="G504" s="227"/>
      <c r="H504" s="227"/>
      <c r="I504" s="216"/>
      <c r="J504" s="225">
        <v>1200</v>
      </c>
      <c r="K504" s="228">
        <v>2.7546296296296294E-3</v>
      </c>
      <c r="L504" s="225" t="s">
        <v>1162</v>
      </c>
      <c r="M504" s="219"/>
      <c r="N504" s="219"/>
      <c r="O504" s="216"/>
      <c r="P504" s="216"/>
      <c r="Q504" s="216"/>
      <c r="R504" s="220"/>
      <c r="S504" s="220"/>
      <c r="T504" s="220"/>
      <c r="U504" s="230"/>
      <c r="V504" s="231"/>
      <c r="W504" s="232"/>
      <c r="X504" s="233"/>
      <c r="Y504" s="219"/>
      <c r="Z504" s="219"/>
    </row>
    <row r="505" spans="1:26" ht="15.75" thickBot="1">
      <c r="A505" s="225">
        <v>343</v>
      </c>
      <c r="B505" s="216"/>
      <c r="C505" s="216"/>
      <c r="D505" s="216"/>
      <c r="E505" s="216" t="s">
        <v>1278</v>
      </c>
      <c r="F505" s="226" t="s">
        <v>1279</v>
      </c>
      <c r="G505" s="227"/>
      <c r="H505" s="227"/>
      <c r="I505" s="216"/>
      <c r="J505" s="225">
        <v>1200</v>
      </c>
      <c r="K505" s="228">
        <v>2.5694444444444445E-3</v>
      </c>
      <c r="L505" s="225" t="s">
        <v>1162</v>
      </c>
      <c r="M505" s="219"/>
      <c r="N505" s="219"/>
      <c r="O505" s="216"/>
      <c r="P505" s="216"/>
      <c r="Q505" s="216"/>
      <c r="R505" s="220"/>
      <c r="S505" s="220"/>
      <c r="T505" s="220"/>
      <c r="U505" s="230"/>
      <c r="V505" s="231"/>
      <c r="W505" s="232"/>
      <c r="X505" s="233"/>
      <c r="Y505" s="219"/>
      <c r="Z505" s="219"/>
    </row>
    <row r="506" spans="1:26" ht="15.75" thickBot="1">
      <c r="A506" s="225">
        <v>344</v>
      </c>
      <c r="B506" s="216"/>
      <c r="C506" s="216"/>
      <c r="D506" s="216"/>
      <c r="E506" s="216" t="s">
        <v>1280</v>
      </c>
      <c r="F506" s="226" t="s">
        <v>1281</v>
      </c>
      <c r="G506" s="227"/>
      <c r="H506" s="227"/>
      <c r="I506" s="216"/>
      <c r="J506" s="225">
        <v>231</v>
      </c>
      <c r="K506" s="228">
        <v>1.7708333333333332E-3</v>
      </c>
      <c r="L506" s="225" t="s">
        <v>1162</v>
      </c>
      <c r="M506" s="219"/>
      <c r="N506" s="219"/>
      <c r="O506" s="216"/>
      <c r="P506" s="216"/>
      <c r="Q506" s="216"/>
      <c r="R506" s="220"/>
      <c r="S506" s="220"/>
      <c r="T506" s="220"/>
      <c r="U506" s="230"/>
      <c r="V506" s="231"/>
      <c r="W506" s="232"/>
      <c r="X506" s="233"/>
      <c r="Y506" s="219"/>
      <c r="Z506" s="219"/>
    </row>
    <row r="507" spans="1:26" ht="15.75" thickBot="1">
      <c r="A507" s="225">
        <v>345</v>
      </c>
      <c r="B507" s="216"/>
      <c r="C507" s="216"/>
      <c r="D507" s="216"/>
      <c r="E507" s="216" t="s">
        <v>1282</v>
      </c>
      <c r="F507" s="226" t="s">
        <v>1283</v>
      </c>
      <c r="G507" s="227"/>
      <c r="H507" s="227"/>
      <c r="I507" s="216"/>
      <c r="J507" s="225">
        <v>666</v>
      </c>
      <c r="K507" s="228">
        <v>1.3194444444444443E-3</v>
      </c>
      <c r="L507" s="225" t="s">
        <v>1162</v>
      </c>
      <c r="M507" s="219"/>
      <c r="N507" s="219"/>
      <c r="O507" s="216"/>
      <c r="P507" s="216"/>
      <c r="Q507" s="216"/>
      <c r="R507" s="220"/>
      <c r="S507" s="220"/>
      <c r="T507" s="220"/>
      <c r="U507" s="230"/>
      <c r="V507" s="231"/>
      <c r="W507" s="232"/>
      <c r="X507" s="233"/>
      <c r="Y507" s="219"/>
      <c r="Z507" s="219"/>
    </row>
    <row r="508" spans="1:26" ht="15.75" thickBot="1">
      <c r="A508" s="225">
        <v>346</v>
      </c>
      <c r="B508" s="216"/>
      <c r="C508" s="216"/>
      <c r="D508" s="216"/>
      <c r="E508" s="216" t="s">
        <v>1284</v>
      </c>
      <c r="F508" s="226" t="s">
        <v>1285</v>
      </c>
      <c r="G508" s="227"/>
      <c r="H508" s="227"/>
      <c r="I508" s="216"/>
      <c r="J508" s="225">
        <v>191</v>
      </c>
      <c r="K508" s="228">
        <v>9.4907407407407408E-4</v>
      </c>
      <c r="L508" s="225" t="s">
        <v>1162</v>
      </c>
      <c r="M508" s="219"/>
      <c r="N508" s="219"/>
      <c r="O508" s="216"/>
      <c r="P508" s="216"/>
      <c r="Q508" s="216"/>
      <c r="R508" s="220"/>
      <c r="S508" s="220"/>
      <c r="T508" s="220"/>
      <c r="U508" s="230"/>
      <c r="V508" s="231"/>
      <c r="W508" s="232"/>
      <c r="X508" s="233"/>
      <c r="Y508" s="219"/>
      <c r="Z508" s="219"/>
    </row>
    <row r="509" spans="1:26" ht="15.75" thickBot="1">
      <c r="A509" s="225">
        <v>347</v>
      </c>
      <c r="B509" s="216"/>
      <c r="C509" s="216"/>
      <c r="D509" s="216"/>
      <c r="E509" s="216" t="s">
        <v>1286</v>
      </c>
      <c r="F509" s="226" t="s">
        <v>1287</v>
      </c>
      <c r="G509" s="227"/>
      <c r="H509" s="227"/>
      <c r="I509" s="216"/>
      <c r="J509" s="225">
        <v>870</v>
      </c>
      <c r="K509" s="228">
        <v>6.076388888888889E-3</v>
      </c>
      <c r="L509" s="225" t="s">
        <v>1162</v>
      </c>
      <c r="M509" s="219"/>
      <c r="N509" s="219"/>
      <c r="O509" s="216"/>
      <c r="P509" s="216"/>
      <c r="Q509" s="216"/>
      <c r="R509" s="220"/>
      <c r="S509" s="220"/>
      <c r="T509" s="220"/>
      <c r="U509" s="230"/>
      <c r="V509" s="231"/>
      <c r="W509" s="232"/>
      <c r="X509" s="233"/>
      <c r="Y509" s="219"/>
      <c r="Z509" s="219"/>
    </row>
    <row r="510" spans="1:26" ht="15.75" thickBot="1">
      <c r="A510" s="225">
        <v>348</v>
      </c>
      <c r="B510" s="216"/>
      <c r="C510" s="216"/>
      <c r="D510" s="216"/>
      <c r="E510" s="216" t="s">
        <v>1288</v>
      </c>
      <c r="F510" s="226" t="s">
        <v>1289</v>
      </c>
      <c r="G510" s="227"/>
      <c r="H510" s="227"/>
      <c r="I510" s="216"/>
      <c r="J510" s="225">
        <v>527</v>
      </c>
      <c r="K510" s="228">
        <v>3.6574074074074074E-3</v>
      </c>
      <c r="L510" s="225" t="s">
        <v>1162</v>
      </c>
      <c r="M510" s="219"/>
      <c r="N510" s="219"/>
      <c r="O510" s="216"/>
      <c r="P510" s="216"/>
      <c r="Q510" s="216"/>
      <c r="R510" s="220"/>
      <c r="S510" s="220"/>
      <c r="T510" s="220"/>
      <c r="U510" s="230"/>
      <c r="V510" s="231"/>
      <c r="W510" s="232"/>
      <c r="X510" s="233"/>
      <c r="Y510" s="219"/>
      <c r="Z510" s="219"/>
    </row>
    <row r="511" spans="1:26" ht="15.75" thickBot="1">
      <c r="A511" s="225">
        <v>349</v>
      </c>
      <c r="B511" s="216"/>
      <c r="C511" s="216"/>
      <c r="D511" s="216"/>
      <c r="E511" s="216" t="s">
        <v>1290</v>
      </c>
      <c r="F511" s="226" t="s">
        <v>1291</v>
      </c>
      <c r="G511" s="227"/>
      <c r="H511" s="227"/>
      <c r="I511" s="216"/>
      <c r="J511" s="225">
        <v>1000</v>
      </c>
      <c r="K511" s="228">
        <v>5.2662037037037035E-3</v>
      </c>
      <c r="L511" s="225" t="s">
        <v>1162</v>
      </c>
      <c r="M511" s="219"/>
      <c r="N511" s="219"/>
      <c r="O511" s="216"/>
      <c r="P511" s="216"/>
      <c r="Q511" s="216"/>
      <c r="R511" s="220"/>
      <c r="S511" s="220"/>
      <c r="T511" s="220"/>
      <c r="U511" s="230"/>
      <c r="V511" s="231"/>
      <c r="W511" s="232"/>
      <c r="X511" s="233"/>
      <c r="Y511" s="219"/>
      <c r="Z511" s="219"/>
    </row>
    <row r="512" spans="1:26" ht="15.75" thickBot="1">
      <c r="A512" s="225">
        <v>350</v>
      </c>
      <c r="B512" s="216"/>
      <c r="C512" s="216"/>
      <c r="D512" s="216"/>
      <c r="E512" s="216" t="s">
        <v>1292</v>
      </c>
      <c r="F512" s="226" t="s">
        <v>1293</v>
      </c>
      <c r="G512" s="227"/>
      <c r="H512" s="227"/>
      <c r="I512" s="216"/>
      <c r="J512" s="225">
        <v>368</v>
      </c>
      <c r="K512" s="228">
        <v>1.1805555555555556E-3</v>
      </c>
      <c r="L512" s="225" t="s">
        <v>1162</v>
      </c>
      <c r="M512" s="219"/>
      <c r="N512" s="219"/>
      <c r="O512" s="216"/>
      <c r="P512" s="216"/>
      <c r="Q512" s="216"/>
      <c r="R512" s="220"/>
      <c r="S512" s="220"/>
      <c r="T512" s="220"/>
      <c r="U512" s="230"/>
      <c r="V512" s="231"/>
      <c r="W512" s="232"/>
      <c r="X512" s="233"/>
      <c r="Y512" s="219"/>
      <c r="Z512" s="219"/>
    </row>
    <row r="513" spans="1:26" ht="15.75" thickBot="1">
      <c r="A513" s="225">
        <v>351</v>
      </c>
      <c r="B513" s="216"/>
      <c r="C513" s="216"/>
      <c r="D513" s="216"/>
      <c r="E513" s="216" t="s">
        <v>1294</v>
      </c>
      <c r="F513" s="226" t="s">
        <v>1295</v>
      </c>
      <c r="G513" s="227"/>
      <c r="H513" s="227"/>
      <c r="I513" s="216"/>
      <c r="J513" s="225">
        <v>1300</v>
      </c>
      <c r="K513" s="228">
        <v>2.9398148148148148E-3</v>
      </c>
      <c r="L513" s="225" t="s">
        <v>1162</v>
      </c>
      <c r="M513" s="219"/>
      <c r="N513" s="219"/>
      <c r="O513" s="216"/>
      <c r="P513" s="216"/>
      <c r="Q513" s="216"/>
      <c r="R513" s="220"/>
      <c r="S513" s="220"/>
      <c r="T513" s="220"/>
      <c r="U513" s="230"/>
      <c r="V513" s="231"/>
      <c r="W513" s="232"/>
      <c r="X513" s="233"/>
      <c r="Y513" s="219"/>
      <c r="Z513" s="219"/>
    </row>
    <row r="514" spans="1:26" ht="15.75" thickBot="1">
      <c r="A514" s="225">
        <v>352</v>
      </c>
      <c r="B514" s="216"/>
      <c r="C514" s="216"/>
      <c r="D514" s="216"/>
      <c r="E514" s="216" t="s">
        <v>1296</v>
      </c>
      <c r="F514" s="226" t="s">
        <v>1297</v>
      </c>
      <c r="G514" s="227"/>
      <c r="H514" s="227"/>
      <c r="I514" s="216"/>
      <c r="J514" s="225">
        <v>207</v>
      </c>
      <c r="K514" s="228">
        <v>3.425925925925926E-3</v>
      </c>
      <c r="L514" s="225" t="s">
        <v>1162</v>
      </c>
      <c r="M514" s="219"/>
      <c r="N514" s="219"/>
      <c r="O514" s="216"/>
      <c r="P514" s="216"/>
      <c r="Q514" s="216"/>
      <c r="R514" s="220"/>
      <c r="S514" s="220"/>
      <c r="T514" s="220"/>
      <c r="U514" s="230"/>
      <c r="V514" s="231"/>
      <c r="W514" s="232"/>
      <c r="X514" s="233"/>
      <c r="Y514" s="219"/>
      <c r="Z514" s="219"/>
    </row>
    <row r="515" spans="1:26" ht="15.75" thickBot="1">
      <c r="A515" s="225">
        <v>353</v>
      </c>
      <c r="B515" s="216"/>
      <c r="C515" s="216"/>
      <c r="D515" s="216"/>
      <c r="E515" s="216" t="s">
        <v>1298</v>
      </c>
      <c r="F515" s="226" t="s">
        <v>1299</v>
      </c>
      <c r="G515" s="227"/>
      <c r="H515" s="227"/>
      <c r="I515" s="216"/>
      <c r="J515" s="225">
        <v>177</v>
      </c>
      <c r="K515" s="228">
        <v>2.7777777777777778E-4</v>
      </c>
      <c r="L515" s="225" t="s">
        <v>1162</v>
      </c>
      <c r="M515" s="219"/>
      <c r="N515" s="219"/>
      <c r="O515" s="216"/>
      <c r="P515" s="216"/>
      <c r="Q515" s="216"/>
      <c r="R515" s="220"/>
      <c r="S515" s="220"/>
      <c r="T515" s="220"/>
      <c r="U515" s="230"/>
      <c r="V515" s="231"/>
      <c r="W515" s="232"/>
      <c r="X515" s="233"/>
      <c r="Y515" s="219"/>
      <c r="Z515" s="219"/>
    </row>
    <row r="516" spans="1:26" ht="15.75" thickBot="1">
      <c r="A516" s="225">
        <v>354</v>
      </c>
      <c r="B516" s="216"/>
      <c r="C516" s="216"/>
      <c r="D516" s="216"/>
      <c r="E516" s="216" t="s">
        <v>1300</v>
      </c>
      <c r="F516" s="226" t="s">
        <v>1301</v>
      </c>
      <c r="G516" s="227"/>
      <c r="H516" s="227"/>
      <c r="I516" s="216"/>
      <c r="J516" s="225">
        <v>3000</v>
      </c>
      <c r="K516" s="228">
        <v>2.615740740740741E-3</v>
      </c>
      <c r="L516" s="225" t="s">
        <v>1162</v>
      </c>
      <c r="M516" s="219"/>
      <c r="N516" s="219"/>
      <c r="O516" s="216"/>
      <c r="P516" s="216"/>
      <c r="Q516" s="216"/>
      <c r="R516" s="220"/>
      <c r="S516" s="220"/>
      <c r="T516" s="220"/>
      <c r="U516" s="230"/>
      <c r="V516" s="231"/>
      <c r="W516" s="232"/>
      <c r="X516" s="233"/>
      <c r="Y516" s="219"/>
      <c r="Z516" s="219"/>
    </row>
    <row r="517" spans="1:26" ht="15.75" thickBot="1">
      <c r="A517" s="225">
        <v>355</v>
      </c>
      <c r="B517" s="216"/>
      <c r="C517" s="216"/>
      <c r="D517" s="216"/>
      <c r="E517" s="216" t="s">
        <v>1302</v>
      </c>
      <c r="F517" s="226" t="s">
        <v>1303</v>
      </c>
      <c r="G517" s="227"/>
      <c r="H517" s="227"/>
      <c r="I517" s="216"/>
      <c r="J517" s="225">
        <v>1900</v>
      </c>
      <c r="K517" s="228">
        <v>2.9629629629629628E-3</v>
      </c>
      <c r="L517" s="225" t="s">
        <v>1162</v>
      </c>
      <c r="M517" s="219"/>
      <c r="N517" s="219"/>
      <c r="O517" s="216"/>
      <c r="P517" s="216"/>
      <c r="Q517" s="216"/>
      <c r="R517" s="220"/>
      <c r="S517" s="220"/>
      <c r="T517" s="220"/>
      <c r="U517" s="230"/>
      <c r="V517" s="231"/>
      <c r="W517" s="232"/>
      <c r="X517" s="233"/>
      <c r="Y517" s="219"/>
      <c r="Z517" s="219"/>
    </row>
    <row r="518" spans="1:26" ht="15.75" thickBot="1">
      <c r="A518" s="225">
        <v>356</v>
      </c>
      <c r="B518" s="216"/>
      <c r="C518" s="216"/>
      <c r="D518" s="216"/>
      <c r="E518" s="216" t="s">
        <v>1304</v>
      </c>
      <c r="F518" s="226" t="s">
        <v>1305</v>
      </c>
      <c r="G518" s="227"/>
      <c r="H518" s="227"/>
      <c r="I518" s="216"/>
      <c r="J518" s="225">
        <v>549</v>
      </c>
      <c r="K518" s="228">
        <v>2.1874999999999998E-3</v>
      </c>
      <c r="L518" s="225" t="s">
        <v>1162</v>
      </c>
      <c r="M518" s="219"/>
      <c r="N518" s="219"/>
      <c r="O518" s="216"/>
      <c r="P518" s="216"/>
      <c r="Q518" s="216"/>
      <c r="R518" s="220"/>
      <c r="S518" s="220"/>
      <c r="T518" s="220"/>
      <c r="U518" s="230"/>
      <c r="V518" s="231"/>
      <c r="W518" s="232"/>
      <c r="X518" s="233"/>
      <c r="Y518" s="219"/>
      <c r="Z518" s="219"/>
    </row>
    <row r="519" spans="1:26" ht="15.75" thickBot="1">
      <c r="A519" s="225">
        <v>357</v>
      </c>
      <c r="B519" s="216"/>
      <c r="C519" s="216"/>
      <c r="D519" s="216"/>
      <c r="E519" s="216" t="s">
        <v>1306</v>
      </c>
      <c r="F519" s="226" t="s">
        <v>1307</v>
      </c>
      <c r="G519" s="227"/>
      <c r="H519" s="227"/>
      <c r="I519" s="216"/>
      <c r="J519" s="225">
        <v>632</v>
      </c>
      <c r="K519" s="228">
        <v>4.3749999999999995E-3</v>
      </c>
      <c r="L519" s="225" t="s">
        <v>1162</v>
      </c>
      <c r="M519" s="219"/>
      <c r="N519" s="219"/>
      <c r="O519" s="216"/>
      <c r="P519" s="216"/>
      <c r="Q519" s="216"/>
      <c r="R519" s="220"/>
      <c r="S519" s="220"/>
      <c r="T519" s="220"/>
      <c r="U519" s="230"/>
      <c r="V519" s="231"/>
      <c r="W519" s="232"/>
      <c r="X519" s="233"/>
      <c r="Y519" s="219"/>
      <c r="Z519" s="219"/>
    </row>
    <row r="520" spans="1:26" ht="15.75" thickBot="1">
      <c r="A520" s="225">
        <v>358</v>
      </c>
      <c r="B520" s="216"/>
      <c r="C520" s="216"/>
      <c r="D520" s="216"/>
      <c r="E520" s="216" t="s">
        <v>1308</v>
      </c>
      <c r="F520" s="226" t="s">
        <v>1309</v>
      </c>
      <c r="G520" s="227"/>
      <c r="H520" s="227"/>
      <c r="I520" s="216"/>
      <c r="J520" s="225">
        <v>656</v>
      </c>
      <c r="K520" s="228">
        <v>3.1250000000000001E-4</v>
      </c>
      <c r="L520" s="225" t="s">
        <v>1162</v>
      </c>
      <c r="M520" s="219"/>
      <c r="N520" s="219"/>
      <c r="O520" s="216"/>
      <c r="P520" s="216"/>
      <c r="Q520" s="216"/>
      <c r="R520" s="220"/>
      <c r="S520" s="220"/>
      <c r="T520" s="220"/>
      <c r="U520" s="230"/>
      <c r="V520" s="231"/>
      <c r="W520" s="232"/>
      <c r="X520" s="233"/>
      <c r="Y520" s="219"/>
      <c r="Z520" s="219"/>
    </row>
    <row r="521" spans="1:26" ht="15.75" thickBot="1">
      <c r="A521" s="225">
        <v>359</v>
      </c>
      <c r="B521" s="216"/>
      <c r="C521" s="216"/>
      <c r="D521" s="216"/>
      <c r="E521" s="216" t="s">
        <v>1310</v>
      </c>
      <c r="F521" s="226" t="s">
        <v>1311</v>
      </c>
      <c r="G521" s="227"/>
      <c r="H521" s="227"/>
      <c r="I521" s="216"/>
      <c r="J521" s="225">
        <v>1200</v>
      </c>
      <c r="K521" s="228">
        <v>4.9189814814814816E-3</v>
      </c>
      <c r="L521" s="225" t="s">
        <v>1312</v>
      </c>
      <c r="M521" s="219"/>
      <c r="N521" s="219"/>
      <c r="O521" s="216"/>
      <c r="P521" s="216"/>
      <c r="Q521" s="216"/>
      <c r="R521" s="220"/>
      <c r="S521" s="220"/>
      <c r="T521" s="220"/>
      <c r="U521" s="230"/>
      <c r="V521" s="231"/>
      <c r="W521" s="232"/>
      <c r="X521" s="233"/>
      <c r="Y521" s="219"/>
      <c r="Z521" s="219"/>
    </row>
    <row r="522" spans="1:26" ht="15.75" thickBot="1">
      <c r="A522" s="225">
        <v>360</v>
      </c>
      <c r="B522" s="216"/>
      <c r="C522" s="216"/>
      <c r="D522" s="216"/>
      <c r="E522" s="216" t="s">
        <v>1313</v>
      </c>
      <c r="F522" s="226" t="s">
        <v>1314</v>
      </c>
      <c r="G522" s="227"/>
      <c r="H522" s="227"/>
      <c r="I522" s="216"/>
      <c r="J522" s="225">
        <v>1300</v>
      </c>
      <c r="K522" s="228">
        <v>2.9398148148148148E-3</v>
      </c>
      <c r="L522" s="225" t="s">
        <v>1162</v>
      </c>
      <c r="M522" s="219"/>
      <c r="N522" s="219"/>
      <c r="O522" s="216"/>
      <c r="P522" s="216"/>
      <c r="Q522" s="216"/>
      <c r="R522" s="220"/>
      <c r="S522" s="220"/>
      <c r="T522" s="220"/>
      <c r="U522" s="230"/>
      <c r="V522" s="231"/>
      <c r="W522" s="232"/>
      <c r="X522" s="233"/>
      <c r="Y522" s="219"/>
      <c r="Z522" s="219"/>
    </row>
    <row r="523" spans="1:26" ht="15.75" thickBot="1">
      <c r="A523" s="225">
        <v>361</v>
      </c>
      <c r="B523" s="216"/>
      <c r="C523" s="216"/>
      <c r="D523" s="216"/>
      <c r="E523" s="216" t="s">
        <v>1315</v>
      </c>
      <c r="F523" s="226" t="s">
        <v>1316</v>
      </c>
      <c r="G523" s="227"/>
      <c r="H523" s="227"/>
      <c r="I523" s="216"/>
      <c r="J523" s="225">
        <v>3800</v>
      </c>
      <c r="K523" s="228">
        <v>1.3912037037037037E-2</v>
      </c>
      <c r="L523" s="225" t="s">
        <v>1162</v>
      </c>
      <c r="M523" s="219"/>
      <c r="N523" s="219"/>
      <c r="O523" s="216"/>
      <c r="P523" s="216"/>
      <c r="Q523" s="216"/>
      <c r="R523" s="220"/>
      <c r="S523" s="220"/>
      <c r="T523" s="220"/>
      <c r="U523" s="230"/>
      <c r="V523" s="231"/>
      <c r="W523" s="232"/>
      <c r="X523" s="233"/>
      <c r="Y523" s="219"/>
      <c r="Z523" s="219"/>
    </row>
    <row r="524" spans="1:26" ht="15.75" thickBot="1">
      <c r="A524" s="225">
        <v>362</v>
      </c>
      <c r="B524" s="216"/>
      <c r="C524" s="216"/>
      <c r="D524" s="216"/>
      <c r="E524" s="216" t="s">
        <v>1317</v>
      </c>
      <c r="F524" s="226" t="s">
        <v>1318</v>
      </c>
      <c r="G524" s="227"/>
      <c r="H524" s="227"/>
      <c r="I524" s="216"/>
      <c r="J524" s="225">
        <v>9200</v>
      </c>
      <c r="K524" s="228">
        <v>1.6898148148148148E-2</v>
      </c>
      <c r="L524" s="225" t="s">
        <v>1162</v>
      </c>
      <c r="M524" s="219"/>
      <c r="N524" s="219"/>
      <c r="O524" s="216"/>
      <c r="P524" s="216"/>
      <c r="Q524" s="216"/>
      <c r="R524" s="220"/>
      <c r="S524" s="220"/>
      <c r="T524" s="220"/>
      <c r="U524" s="230"/>
      <c r="V524" s="231"/>
      <c r="W524" s="232"/>
      <c r="X524" s="233"/>
      <c r="Y524" s="219"/>
      <c r="Z524" s="219"/>
    </row>
    <row r="525" spans="1:26" ht="15.75" thickBot="1">
      <c r="A525" s="225">
        <v>363</v>
      </c>
      <c r="B525" s="216"/>
      <c r="C525" s="216"/>
      <c r="D525" s="216"/>
      <c r="E525" s="216" t="s">
        <v>1319</v>
      </c>
      <c r="F525" s="226" t="s">
        <v>1320</v>
      </c>
      <c r="G525" s="227"/>
      <c r="H525" s="227"/>
      <c r="I525" s="216"/>
      <c r="J525" s="225">
        <v>1600</v>
      </c>
      <c r="K525" s="228">
        <v>2.2106481481481478E-3</v>
      </c>
      <c r="L525" s="225" t="s">
        <v>1162</v>
      </c>
      <c r="M525" s="219"/>
      <c r="N525" s="219"/>
      <c r="O525" s="216"/>
      <c r="P525" s="216"/>
      <c r="Q525" s="216"/>
      <c r="R525" s="220"/>
      <c r="S525" s="220"/>
      <c r="T525" s="220"/>
      <c r="U525" s="230"/>
      <c r="V525" s="231"/>
      <c r="W525" s="232"/>
      <c r="X525" s="233"/>
      <c r="Y525" s="219"/>
      <c r="Z525" s="219"/>
    </row>
    <row r="526" spans="1:26" ht="15.75" thickBot="1">
      <c r="A526" s="225">
        <v>364</v>
      </c>
      <c r="B526" s="216"/>
      <c r="C526" s="216"/>
      <c r="D526" s="216"/>
      <c r="E526" s="216" t="s">
        <v>1321</v>
      </c>
      <c r="F526" s="226" t="s">
        <v>1322</v>
      </c>
      <c r="G526" s="227"/>
      <c r="H526" s="227"/>
      <c r="I526" s="216"/>
      <c r="J526" s="225">
        <v>2700</v>
      </c>
      <c r="K526" s="228">
        <v>2.2615740740740742E-2</v>
      </c>
      <c r="L526" s="225" t="s">
        <v>1162</v>
      </c>
      <c r="M526" s="219"/>
      <c r="N526" s="219"/>
      <c r="O526" s="216"/>
      <c r="P526" s="216"/>
      <c r="Q526" s="216"/>
      <c r="R526" s="220"/>
      <c r="S526" s="220"/>
      <c r="T526" s="220"/>
      <c r="U526" s="230"/>
      <c r="V526" s="231"/>
      <c r="W526" s="232"/>
      <c r="X526" s="233"/>
      <c r="Y526" s="219"/>
      <c r="Z526" s="219"/>
    </row>
    <row r="527" spans="1:26" ht="15.75" thickBot="1">
      <c r="A527" s="225">
        <v>365</v>
      </c>
      <c r="B527" s="216"/>
      <c r="C527" s="216"/>
      <c r="D527" s="216"/>
      <c r="E527" s="216" t="s">
        <v>1323</v>
      </c>
      <c r="F527" s="226" t="s">
        <v>1324</v>
      </c>
      <c r="G527" s="227"/>
      <c r="H527" s="227"/>
      <c r="I527" s="216"/>
      <c r="J527" s="225">
        <v>768</v>
      </c>
      <c r="K527" s="228">
        <v>2.8587962962962963E-3</v>
      </c>
      <c r="L527" s="225" t="s">
        <v>1162</v>
      </c>
      <c r="M527" s="219"/>
      <c r="N527" s="219"/>
      <c r="O527" s="216"/>
      <c r="P527" s="216"/>
      <c r="Q527" s="216"/>
      <c r="R527" s="220"/>
      <c r="S527" s="220"/>
      <c r="T527" s="220"/>
      <c r="U527" s="230"/>
      <c r="V527" s="231"/>
      <c r="W527" s="232"/>
      <c r="X527" s="233"/>
      <c r="Y527" s="219"/>
      <c r="Z527" s="219"/>
    </row>
    <row r="528" spans="1:26" ht="15.75" thickBot="1">
      <c r="A528" s="225">
        <v>366</v>
      </c>
      <c r="B528" s="216"/>
      <c r="C528" s="216"/>
      <c r="D528" s="216"/>
      <c r="E528" s="216" t="s">
        <v>1325</v>
      </c>
      <c r="F528" s="226" t="s">
        <v>1326</v>
      </c>
      <c r="G528" s="227"/>
      <c r="H528" s="227"/>
      <c r="I528" s="216"/>
      <c r="J528" s="225">
        <v>925</v>
      </c>
      <c r="K528" s="228">
        <v>1.2037037037037038E-3</v>
      </c>
      <c r="L528" s="225" t="s">
        <v>1162</v>
      </c>
      <c r="M528" s="219"/>
      <c r="N528" s="219"/>
      <c r="O528" s="216"/>
      <c r="P528" s="216"/>
      <c r="Q528" s="216"/>
      <c r="R528" s="220"/>
      <c r="S528" s="220"/>
      <c r="T528" s="220"/>
      <c r="U528" s="230"/>
      <c r="V528" s="231"/>
      <c r="W528" s="232"/>
      <c r="X528" s="233"/>
      <c r="Y528" s="219"/>
      <c r="Z528" s="219"/>
    </row>
    <row r="529" spans="1:26" ht="15.75" thickBot="1">
      <c r="A529" s="225">
        <v>367</v>
      </c>
      <c r="B529" s="216"/>
      <c r="C529" s="216"/>
      <c r="D529" s="216"/>
      <c r="E529" s="216" t="s">
        <v>1327</v>
      </c>
      <c r="F529" s="226" t="s">
        <v>1328</v>
      </c>
      <c r="G529" s="227"/>
      <c r="H529" s="227"/>
      <c r="I529" s="216"/>
      <c r="J529" s="225">
        <v>12000</v>
      </c>
      <c r="K529" s="228">
        <v>1.8634259259259261E-3</v>
      </c>
      <c r="L529" s="225" t="s">
        <v>1162</v>
      </c>
      <c r="M529" s="219"/>
      <c r="N529" s="219"/>
      <c r="O529" s="216"/>
      <c r="P529" s="216"/>
      <c r="Q529" s="216"/>
      <c r="R529" s="220"/>
      <c r="S529" s="220"/>
      <c r="T529" s="220"/>
      <c r="U529" s="230"/>
      <c r="V529" s="231"/>
      <c r="W529" s="232"/>
      <c r="X529" s="233"/>
      <c r="Y529" s="219"/>
      <c r="Z529" s="219"/>
    </row>
    <row r="530" spans="1:26" ht="15.75" thickBot="1">
      <c r="A530" s="225">
        <v>368</v>
      </c>
      <c r="B530" s="216"/>
      <c r="C530" s="216"/>
      <c r="D530" s="216"/>
      <c r="E530" s="216" t="s">
        <v>1329</v>
      </c>
      <c r="F530" s="226" t="s">
        <v>1330</v>
      </c>
      <c r="G530" s="227"/>
      <c r="H530" s="227"/>
      <c r="I530" s="216"/>
      <c r="J530" s="225">
        <v>13000</v>
      </c>
      <c r="K530" s="228">
        <v>1.5914351851851853E-2</v>
      </c>
      <c r="L530" s="225" t="s">
        <v>1162</v>
      </c>
      <c r="M530" s="219"/>
      <c r="N530" s="219"/>
      <c r="O530" s="216"/>
      <c r="P530" s="216"/>
      <c r="Q530" s="216"/>
      <c r="R530" s="220"/>
      <c r="S530" s="220"/>
      <c r="T530" s="220"/>
      <c r="U530" s="230"/>
      <c r="V530" s="231"/>
      <c r="W530" s="232"/>
      <c r="X530" s="233"/>
      <c r="Y530" s="219"/>
      <c r="Z530" s="219"/>
    </row>
    <row r="531" spans="1:26" ht="15.75" thickBot="1">
      <c r="A531" s="225">
        <v>369</v>
      </c>
      <c r="B531" s="216"/>
      <c r="C531" s="216"/>
      <c r="D531" s="216"/>
      <c r="E531" s="216" t="s">
        <v>1331</v>
      </c>
      <c r="F531" s="226" t="s">
        <v>1332</v>
      </c>
      <c r="G531" s="227"/>
      <c r="H531" s="227"/>
      <c r="I531" s="216"/>
      <c r="J531" s="225">
        <v>193</v>
      </c>
      <c r="K531" s="228">
        <v>3.8773148148148143E-3</v>
      </c>
      <c r="L531" s="225" t="s">
        <v>1162</v>
      </c>
      <c r="M531" s="219"/>
      <c r="N531" s="219"/>
      <c r="O531" s="216"/>
      <c r="P531" s="216"/>
      <c r="Q531" s="216"/>
      <c r="R531" s="220"/>
      <c r="S531" s="220"/>
      <c r="T531" s="220"/>
      <c r="U531" s="230"/>
      <c r="V531" s="231"/>
      <c r="W531" s="232"/>
      <c r="X531" s="233"/>
      <c r="Y531" s="219"/>
      <c r="Z531" s="219"/>
    </row>
    <row r="532" spans="1:26" ht="15.75" thickBot="1">
      <c r="A532" s="225">
        <v>370</v>
      </c>
      <c r="B532" s="216"/>
      <c r="C532" s="216"/>
      <c r="D532" s="216"/>
      <c r="E532" s="216" t="s">
        <v>1333</v>
      </c>
      <c r="F532" s="226" t="s">
        <v>1334</v>
      </c>
      <c r="G532" s="227"/>
      <c r="H532" s="227"/>
      <c r="I532" s="216"/>
      <c r="J532" s="225">
        <v>219</v>
      </c>
      <c r="K532" s="228">
        <v>2.1296296296296298E-3</v>
      </c>
      <c r="L532" s="225" t="s">
        <v>1162</v>
      </c>
      <c r="M532" s="219"/>
      <c r="N532" s="219"/>
      <c r="O532" s="216"/>
      <c r="P532" s="216"/>
      <c r="Q532" s="216"/>
      <c r="R532" s="220"/>
      <c r="S532" s="220"/>
      <c r="T532" s="220"/>
      <c r="U532" s="230"/>
      <c r="V532" s="231"/>
      <c r="W532" s="232"/>
      <c r="X532" s="233"/>
      <c r="Y532" s="219"/>
      <c r="Z532" s="219"/>
    </row>
    <row r="533" spans="1:26" ht="15.75" thickBot="1">
      <c r="A533" s="225">
        <v>371</v>
      </c>
      <c r="B533" s="216"/>
      <c r="C533" s="216"/>
      <c r="D533" s="216"/>
      <c r="E533" s="216" t="s">
        <v>1335</v>
      </c>
      <c r="F533" s="226" t="s">
        <v>1336</v>
      </c>
      <c r="G533" s="227"/>
      <c r="H533" s="227"/>
      <c r="I533" s="216"/>
      <c r="J533" s="225">
        <v>413</v>
      </c>
      <c r="K533" s="228">
        <v>2.4189814814814816E-3</v>
      </c>
      <c r="L533" s="225" t="s">
        <v>1162</v>
      </c>
      <c r="M533" s="219"/>
      <c r="N533" s="219"/>
      <c r="O533" s="216"/>
      <c r="P533" s="216"/>
      <c r="Q533" s="216"/>
      <c r="R533" s="220"/>
      <c r="S533" s="220"/>
      <c r="T533" s="220"/>
      <c r="U533" s="230"/>
      <c r="V533" s="231"/>
      <c r="W533" s="232"/>
      <c r="X533" s="233"/>
      <c r="Y533" s="219"/>
      <c r="Z533" s="219"/>
    </row>
    <row r="534" spans="1:26" ht="15.75" thickBot="1">
      <c r="A534" s="225">
        <v>372</v>
      </c>
      <c r="B534" s="216"/>
      <c r="C534" s="216"/>
      <c r="D534" s="216"/>
      <c r="E534" s="216" t="s">
        <v>1337</v>
      </c>
      <c r="F534" s="226" t="s">
        <v>1338</v>
      </c>
      <c r="G534" s="227"/>
      <c r="H534" s="227"/>
      <c r="I534" s="216"/>
      <c r="J534" s="225">
        <v>126</v>
      </c>
      <c r="K534" s="228">
        <v>1.6203703703703703E-3</v>
      </c>
      <c r="L534" s="225" t="s">
        <v>1162</v>
      </c>
      <c r="M534" s="219"/>
      <c r="N534" s="219"/>
      <c r="O534" s="216"/>
      <c r="P534" s="216"/>
      <c r="Q534" s="216"/>
      <c r="R534" s="220"/>
      <c r="S534" s="220"/>
      <c r="T534" s="220"/>
      <c r="U534" s="230"/>
      <c r="V534" s="231"/>
      <c r="W534" s="232"/>
      <c r="X534" s="233"/>
      <c r="Y534" s="219"/>
      <c r="Z534" s="219"/>
    </row>
    <row r="535" spans="1:26" ht="15.75" thickBot="1">
      <c r="A535" s="225">
        <v>373</v>
      </c>
      <c r="B535" s="216"/>
      <c r="C535" s="216"/>
      <c r="D535" s="216"/>
      <c r="E535" s="216" t="s">
        <v>1339</v>
      </c>
      <c r="F535" s="226" t="s">
        <v>1340</v>
      </c>
      <c r="G535" s="227"/>
      <c r="H535" s="227"/>
      <c r="I535" s="216"/>
      <c r="J535" s="225">
        <v>154</v>
      </c>
      <c r="K535" s="228">
        <v>3.3680555555555551E-3</v>
      </c>
      <c r="L535" s="225" t="s">
        <v>1162</v>
      </c>
      <c r="M535" s="219"/>
      <c r="N535" s="219"/>
      <c r="O535" s="216"/>
      <c r="P535" s="216"/>
      <c r="Q535" s="216"/>
      <c r="R535" s="220"/>
      <c r="S535" s="220"/>
      <c r="T535" s="220"/>
      <c r="U535" s="230"/>
      <c r="V535" s="231"/>
      <c r="W535" s="232"/>
      <c r="X535" s="233"/>
      <c r="Y535" s="219"/>
      <c r="Z535" s="219"/>
    </row>
    <row r="536" spans="1:26" ht="15.75" thickBot="1">
      <c r="A536" s="225">
        <v>374</v>
      </c>
      <c r="B536" s="216"/>
      <c r="C536" s="216"/>
      <c r="D536" s="216"/>
      <c r="E536" s="216" t="s">
        <v>1341</v>
      </c>
      <c r="F536" s="226" t="s">
        <v>1342</v>
      </c>
      <c r="G536" s="227"/>
      <c r="H536" s="227"/>
      <c r="I536" s="216"/>
      <c r="J536" s="225">
        <v>119</v>
      </c>
      <c r="K536" s="228">
        <v>2.3263888888888887E-3</v>
      </c>
      <c r="L536" s="225" t="s">
        <v>1162</v>
      </c>
      <c r="M536" s="219"/>
      <c r="N536" s="219"/>
      <c r="O536" s="216"/>
      <c r="P536" s="216"/>
      <c r="Q536" s="216"/>
      <c r="R536" s="220"/>
      <c r="S536" s="220"/>
      <c r="T536" s="220"/>
      <c r="U536" s="230"/>
      <c r="V536" s="231"/>
      <c r="W536" s="232"/>
      <c r="X536" s="233"/>
      <c r="Y536" s="219"/>
      <c r="Z536" s="219"/>
    </row>
    <row r="537" spans="1:26" ht="15.75" thickBot="1">
      <c r="A537" s="225">
        <v>375</v>
      </c>
      <c r="B537" s="216"/>
      <c r="C537" s="216"/>
      <c r="D537" s="216"/>
      <c r="E537" s="216" t="s">
        <v>1343</v>
      </c>
      <c r="F537" s="226" t="s">
        <v>1344</v>
      </c>
      <c r="G537" s="227"/>
      <c r="H537" s="227"/>
      <c r="I537" s="216"/>
      <c r="J537" s="225">
        <v>241</v>
      </c>
      <c r="K537" s="228">
        <v>8.7962962962962962E-4</v>
      </c>
      <c r="L537" s="225" t="s">
        <v>1162</v>
      </c>
      <c r="M537" s="219"/>
      <c r="N537" s="219"/>
      <c r="O537" s="216"/>
      <c r="P537" s="216"/>
      <c r="Q537" s="216"/>
      <c r="R537" s="220"/>
      <c r="S537" s="220"/>
      <c r="T537" s="220"/>
      <c r="U537" s="230"/>
      <c r="V537" s="231"/>
      <c r="W537" s="232"/>
      <c r="X537" s="233"/>
      <c r="Y537" s="219"/>
      <c r="Z537" s="219"/>
    </row>
    <row r="538" spans="1:26" ht="15.75" thickBot="1">
      <c r="A538" s="225">
        <v>376</v>
      </c>
      <c r="B538" s="216"/>
      <c r="C538" s="216"/>
      <c r="D538" s="216"/>
      <c r="E538" s="216" t="s">
        <v>1345</v>
      </c>
      <c r="F538" s="226" t="s">
        <v>1346</v>
      </c>
      <c r="G538" s="227"/>
      <c r="H538" s="227"/>
      <c r="I538" s="216"/>
      <c r="J538" s="225">
        <v>13000</v>
      </c>
      <c r="K538" s="228">
        <v>8.2986111111111108E-3</v>
      </c>
      <c r="L538" s="225" t="s">
        <v>1162</v>
      </c>
      <c r="M538" s="219"/>
      <c r="N538" s="219"/>
      <c r="O538" s="216"/>
      <c r="P538" s="216"/>
      <c r="Q538" s="216"/>
      <c r="R538" s="220"/>
      <c r="S538" s="220"/>
      <c r="T538" s="220"/>
      <c r="U538" s="230"/>
      <c r="V538" s="231"/>
      <c r="W538" s="232"/>
      <c r="X538" s="233"/>
      <c r="Y538" s="219"/>
      <c r="Z538" s="219"/>
    </row>
    <row r="539" spans="1:26" ht="15.75" thickBot="1">
      <c r="A539" s="225">
        <v>377</v>
      </c>
      <c r="B539" s="216"/>
      <c r="C539" s="216"/>
      <c r="D539" s="216"/>
      <c r="E539" s="216" t="s">
        <v>1347</v>
      </c>
      <c r="F539" s="226" t="s">
        <v>1348</v>
      </c>
      <c r="G539" s="227"/>
      <c r="H539" s="227"/>
      <c r="I539" s="216"/>
      <c r="J539" s="225">
        <v>20000</v>
      </c>
      <c r="K539" s="228">
        <v>6.7592592592592591E-3</v>
      </c>
      <c r="L539" s="225" t="s">
        <v>1162</v>
      </c>
      <c r="M539" s="219"/>
      <c r="N539" s="219"/>
      <c r="O539" s="216"/>
      <c r="P539" s="216"/>
      <c r="Q539" s="216"/>
      <c r="R539" s="220"/>
      <c r="S539" s="220"/>
      <c r="T539" s="220"/>
      <c r="U539" s="230"/>
      <c r="V539" s="231"/>
      <c r="W539" s="232"/>
      <c r="X539" s="233"/>
      <c r="Y539" s="219"/>
      <c r="Z539" s="219"/>
    </row>
    <row r="540" spans="1:26" ht="15.75" thickBot="1">
      <c r="A540" s="225">
        <v>378</v>
      </c>
      <c r="B540" s="216"/>
      <c r="C540" s="216"/>
      <c r="D540" s="216"/>
      <c r="E540" s="216" t="s">
        <v>1349</v>
      </c>
      <c r="F540" s="226" t="s">
        <v>1350</v>
      </c>
      <c r="G540" s="227"/>
      <c r="H540" s="227"/>
      <c r="I540" s="216"/>
      <c r="J540" s="225">
        <v>844</v>
      </c>
      <c r="K540" s="228">
        <v>2.5347222222222221E-3</v>
      </c>
      <c r="L540" s="225" t="s">
        <v>1162</v>
      </c>
      <c r="M540" s="219"/>
      <c r="N540" s="219"/>
      <c r="O540" s="216"/>
      <c r="P540" s="216"/>
      <c r="Q540" s="216"/>
      <c r="R540" s="220"/>
      <c r="S540" s="220"/>
      <c r="T540" s="220"/>
      <c r="U540" s="230"/>
      <c r="V540" s="231"/>
      <c r="W540" s="232"/>
      <c r="X540" s="233"/>
      <c r="Y540" s="219"/>
      <c r="Z540" s="219"/>
    </row>
    <row r="541" spans="1:26" ht="15.75" thickBot="1">
      <c r="A541" s="225">
        <v>379</v>
      </c>
      <c r="B541" s="216"/>
      <c r="C541" s="216"/>
      <c r="D541" s="216"/>
      <c r="E541" s="216" t="s">
        <v>1351</v>
      </c>
      <c r="F541" s="226" t="s">
        <v>1352</v>
      </c>
      <c r="G541" s="227"/>
      <c r="H541" s="227"/>
      <c r="I541" s="216"/>
      <c r="J541" s="225">
        <v>904</v>
      </c>
      <c r="K541" s="228">
        <v>5.37037037037037E-3</v>
      </c>
      <c r="L541" s="225" t="s">
        <v>1162</v>
      </c>
      <c r="M541" s="219"/>
      <c r="N541" s="219"/>
      <c r="O541" s="216"/>
      <c r="P541" s="216"/>
      <c r="Q541" s="216"/>
      <c r="R541" s="220"/>
      <c r="S541" s="220"/>
      <c r="T541" s="220"/>
      <c r="U541" s="230"/>
      <c r="V541" s="231"/>
      <c r="W541" s="232"/>
      <c r="X541" s="233"/>
      <c r="Y541" s="219"/>
      <c r="Z541" s="219"/>
    </row>
    <row r="542" spans="1:26" ht="15.75" thickBot="1">
      <c r="A542" s="225">
        <v>380</v>
      </c>
      <c r="B542" s="216"/>
      <c r="C542" s="216"/>
      <c r="D542" s="216"/>
      <c r="E542" s="216" t="s">
        <v>1353</v>
      </c>
      <c r="F542" s="226" t="s">
        <v>1354</v>
      </c>
      <c r="G542" s="227"/>
      <c r="H542" s="227"/>
      <c r="I542" s="216"/>
      <c r="J542" s="225">
        <v>384</v>
      </c>
      <c r="K542" s="228">
        <v>1.7592592592592592E-3</v>
      </c>
      <c r="L542" s="225" t="s">
        <v>1162</v>
      </c>
      <c r="M542" s="219"/>
      <c r="N542" s="219"/>
      <c r="O542" s="216"/>
      <c r="P542" s="216"/>
      <c r="Q542" s="216"/>
      <c r="R542" s="220"/>
      <c r="S542" s="220"/>
      <c r="T542" s="220"/>
      <c r="U542" s="230"/>
      <c r="V542" s="231"/>
      <c r="W542" s="232"/>
      <c r="X542" s="233"/>
      <c r="Y542" s="219"/>
      <c r="Z542" s="219"/>
    </row>
    <row r="543" spans="1:26" ht="15.75" thickBot="1">
      <c r="A543" s="225">
        <v>381</v>
      </c>
      <c r="B543" s="216"/>
      <c r="C543" s="216"/>
      <c r="D543" s="216"/>
      <c r="E543" s="216" t="s">
        <v>1355</v>
      </c>
      <c r="F543" s="226" t="s">
        <v>1356</v>
      </c>
      <c r="G543" s="227"/>
      <c r="H543" s="227"/>
      <c r="I543" s="216"/>
      <c r="J543" s="225">
        <v>43000</v>
      </c>
      <c r="K543" s="228">
        <v>4.9652777777777777E-3</v>
      </c>
      <c r="L543" s="225" t="s">
        <v>1162</v>
      </c>
      <c r="M543" s="219"/>
      <c r="N543" s="219"/>
      <c r="O543" s="216"/>
      <c r="P543" s="216"/>
      <c r="Q543" s="216"/>
      <c r="R543" s="220"/>
      <c r="S543" s="220"/>
      <c r="T543" s="220"/>
      <c r="U543" s="230"/>
      <c r="V543" s="231"/>
      <c r="W543" s="232"/>
      <c r="X543" s="233"/>
      <c r="Y543" s="219"/>
      <c r="Z543" s="219"/>
    </row>
    <row r="544" spans="1:26" ht="15.75" thickBot="1">
      <c r="A544" s="225">
        <v>382</v>
      </c>
      <c r="B544" s="216"/>
      <c r="C544" s="216"/>
      <c r="D544" s="216"/>
      <c r="E544" s="216" t="s">
        <v>1357</v>
      </c>
      <c r="F544" s="226" t="s">
        <v>1358</v>
      </c>
      <c r="G544" s="227"/>
      <c r="H544" s="227"/>
      <c r="I544" s="216"/>
      <c r="J544" s="225">
        <v>1300</v>
      </c>
      <c r="K544" s="228">
        <v>1.1689814814814814E-2</v>
      </c>
      <c r="L544" s="225" t="s">
        <v>1162</v>
      </c>
      <c r="M544" s="219"/>
      <c r="N544" s="219"/>
      <c r="O544" s="216"/>
      <c r="P544" s="216"/>
      <c r="Q544" s="216"/>
      <c r="R544" s="220"/>
      <c r="S544" s="220"/>
      <c r="T544" s="220"/>
      <c r="U544" s="230"/>
      <c r="V544" s="231"/>
      <c r="W544" s="232"/>
      <c r="X544" s="233"/>
      <c r="Y544" s="219"/>
      <c r="Z544" s="219"/>
    </row>
    <row r="545" spans="1:26" ht="15.75" thickBot="1">
      <c r="A545" s="225">
        <v>383</v>
      </c>
      <c r="B545" s="216"/>
      <c r="C545" s="216"/>
      <c r="D545" s="216"/>
      <c r="E545" s="216" t="s">
        <v>1359</v>
      </c>
      <c r="F545" s="226" t="s">
        <v>1360</v>
      </c>
      <c r="G545" s="227"/>
      <c r="H545" s="227"/>
      <c r="I545" s="216"/>
      <c r="J545" s="225">
        <v>1100</v>
      </c>
      <c r="K545" s="228">
        <v>2.7199074074074074E-3</v>
      </c>
      <c r="L545" s="225" t="s">
        <v>1162</v>
      </c>
      <c r="M545" s="219"/>
      <c r="N545" s="219"/>
      <c r="O545" s="216"/>
      <c r="P545" s="216"/>
      <c r="Q545" s="216"/>
      <c r="R545" s="220"/>
      <c r="S545" s="220"/>
      <c r="T545" s="220"/>
      <c r="U545" s="230"/>
      <c r="V545" s="231"/>
      <c r="W545" s="232"/>
      <c r="X545" s="233"/>
      <c r="Y545" s="219"/>
      <c r="Z545" s="219"/>
    </row>
    <row r="546" spans="1:26" ht="15.75" thickBot="1">
      <c r="A546" s="225">
        <v>384</v>
      </c>
      <c r="B546" s="216"/>
      <c r="C546" s="216"/>
      <c r="D546" s="216"/>
      <c r="E546" s="216" t="s">
        <v>1361</v>
      </c>
      <c r="F546" s="226" t="s">
        <v>1362</v>
      </c>
      <c r="G546" s="227"/>
      <c r="H546" s="227"/>
      <c r="I546" s="216"/>
      <c r="J546" s="225">
        <v>947</v>
      </c>
      <c r="K546" s="228">
        <v>2.0254629629629629E-3</v>
      </c>
      <c r="L546" s="225" t="s">
        <v>1162</v>
      </c>
      <c r="M546" s="219"/>
      <c r="N546" s="219"/>
      <c r="O546" s="216"/>
      <c r="P546" s="216"/>
      <c r="Q546" s="216"/>
      <c r="R546" s="220"/>
      <c r="S546" s="220"/>
      <c r="T546" s="220"/>
      <c r="U546" s="230"/>
      <c r="V546" s="231"/>
      <c r="W546" s="232"/>
      <c r="X546" s="233"/>
      <c r="Y546" s="219"/>
      <c r="Z546" s="219"/>
    </row>
    <row r="547" spans="1:26" ht="15.75" thickBot="1">
      <c r="A547" s="225">
        <v>385</v>
      </c>
      <c r="B547" s="216"/>
      <c r="C547" s="216"/>
      <c r="D547" s="216"/>
      <c r="E547" s="216" t="s">
        <v>1363</v>
      </c>
      <c r="F547" s="226" t="s">
        <v>1364</v>
      </c>
      <c r="G547" s="227"/>
      <c r="H547" s="227"/>
      <c r="I547" s="216"/>
      <c r="J547" s="225">
        <v>405</v>
      </c>
      <c r="K547" s="228">
        <v>3.4375E-3</v>
      </c>
      <c r="L547" s="225" t="s">
        <v>1162</v>
      </c>
      <c r="M547" s="219"/>
      <c r="N547" s="219"/>
      <c r="O547" s="216"/>
      <c r="P547" s="216"/>
      <c r="Q547" s="216"/>
      <c r="R547" s="220"/>
      <c r="S547" s="220"/>
      <c r="T547" s="220"/>
      <c r="U547" s="230"/>
      <c r="V547" s="231"/>
      <c r="W547" s="232"/>
      <c r="X547" s="233"/>
      <c r="Y547" s="219"/>
      <c r="Z547" s="219"/>
    </row>
    <row r="548" spans="1:26" ht="15.75" thickBot="1">
      <c r="A548" s="225">
        <v>386</v>
      </c>
      <c r="B548" s="216"/>
      <c r="C548" s="216"/>
      <c r="D548" s="216"/>
      <c r="E548" s="216" t="s">
        <v>1365</v>
      </c>
      <c r="F548" s="226" t="s">
        <v>1366</v>
      </c>
      <c r="G548" s="227"/>
      <c r="H548" s="227"/>
      <c r="I548" s="216"/>
      <c r="J548" s="225">
        <v>365</v>
      </c>
      <c r="K548" s="228">
        <v>2.9745370370370373E-3</v>
      </c>
      <c r="L548" s="225" t="s">
        <v>1162</v>
      </c>
      <c r="M548" s="219"/>
      <c r="N548" s="219"/>
      <c r="O548" s="216"/>
      <c r="P548" s="216"/>
      <c r="Q548" s="216"/>
      <c r="R548" s="220"/>
      <c r="S548" s="220"/>
      <c r="T548" s="220"/>
      <c r="U548" s="230"/>
      <c r="V548" s="231"/>
      <c r="W548" s="232"/>
      <c r="X548" s="233"/>
      <c r="Y548" s="219"/>
      <c r="Z548" s="219"/>
    </row>
    <row r="549" spans="1:26" ht="15.75" thickBot="1">
      <c r="A549" s="225">
        <v>387</v>
      </c>
      <c r="B549" s="216"/>
      <c r="C549" s="216"/>
      <c r="D549" s="216"/>
      <c r="E549" s="216" t="s">
        <v>1367</v>
      </c>
      <c r="F549" s="226" t="s">
        <v>1368</v>
      </c>
      <c r="G549" s="227"/>
      <c r="H549" s="227"/>
      <c r="I549" s="216"/>
      <c r="J549" s="225">
        <v>728</v>
      </c>
      <c r="K549" s="228">
        <v>3.37962962962963E-3</v>
      </c>
      <c r="L549" s="225" t="s">
        <v>1162</v>
      </c>
      <c r="M549" s="219"/>
      <c r="N549" s="219"/>
      <c r="O549" s="216"/>
      <c r="P549" s="216"/>
      <c r="Q549" s="216"/>
      <c r="R549" s="220"/>
      <c r="S549" s="220"/>
      <c r="T549" s="220"/>
      <c r="U549" s="230"/>
      <c r="V549" s="231"/>
      <c r="W549" s="232"/>
      <c r="X549" s="233"/>
      <c r="Y549" s="219"/>
      <c r="Z549" s="219"/>
    </row>
    <row r="550" spans="1:26" ht="15.75" thickBot="1">
      <c r="A550" s="225">
        <v>388</v>
      </c>
      <c r="B550" s="216"/>
      <c r="C550" s="216"/>
      <c r="D550" s="216"/>
      <c r="E550" s="216" t="s">
        <v>1369</v>
      </c>
      <c r="F550" s="226" t="s">
        <v>1370</v>
      </c>
      <c r="G550" s="227"/>
      <c r="H550" s="227"/>
      <c r="I550" s="216"/>
      <c r="J550" s="225">
        <v>3700</v>
      </c>
      <c r="K550" s="228">
        <v>3.1782407407407405E-2</v>
      </c>
      <c r="L550" s="225" t="s">
        <v>1162</v>
      </c>
      <c r="M550" s="219"/>
      <c r="N550" s="219"/>
      <c r="O550" s="216"/>
      <c r="P550" s="216"/>
      <c r="Q550" s="216"/>
      <c r="R550" s="220"/>
      <c r="S550" s="220"/>
      <c r="T550" s="220"/>
      <c r="U550" s="230"/>
      <c r="V550" s="231"/>
      <c r="W550" s="232"/>
      <c r="X550" s="233"/>
      <c r="Y550" s="219"/>
      <c r="Z550" s="219"/>
    </row>
    <row r="551" spans="1:26" ht="15.75" thickBot="1">
      <c r="A551" s="225">
        <v>389</v>
      </c>
      <c r="B551" s="216"/>
      <c r="C551" s="216"/>
      <c r="D551" s="216"/>
      <c r="E551" s="216" t="s">
        <v>1371</v>
      </c>
      <c r="F551" s="226" t="s">
        <v>1372</v>
      </c>
      <c r="G551" s="227"/>
      <c r="H551" s="227"/>
      <c r="I551" s="216"/>
      <c r="J551" s="225">
        <v>634</v>
      </c>
      <c r="K551" s="228">
        <v>2.2337962962962967E-3</v>
      </c>
      <c r="L551" s="225" t="s">
        <v>1162</v>
      </c>
      <c r="M551" s="219"/>
      <c r="N551" s="219"/>
      <c r="O551" s="216"/>
      <c r="P551" s="216"/>
      <c r="Q551" s="216"/>
      <c r="R551" s="220"/>
      <c r="S551" s="220"/>
      <c r="T551" s="220"/>
      <c r="U551" s="230"/>
      <c r="V551" s="231"/>
      <c r="W551" s="232"/>
      <c r="X551" s="233"/>
      <c r="Y551" s="219"/>
      <c r="Z551" s="219"/>
    </row>
    <row r="552" spans="1:26" ht="15.75" thickBot="1">
      <c r="A552" s="225">
        <v>390</v>
      </c>
      <c r="B552" s="216"/>
      <c r="C552" s="216"/>
      <c r="D552" s="216"/>
      <c r="E552" s="216" t="s">
        <v>1373</v>
      </c>
      <c r="F552" s="226" t="s">
        <v>1374</v>
      </c>
      <c r="G552" s="227"/>
      <c r="H552" s="227"/>
      <c r="I552" s="216"/>
      <c r="J552" s="225">
        <v>387</v>
      </c>
      <c r="K552" s="228">
        <v>1.8171296296296297E-3</v>
      </c>
      <c r="L552" s="225" t="s">
        <v>1162</v>
      </c>
      <c r="M552" s="219"/>
      <c r="N552" s="219"/>
      <c r="O552" s="216"/>
      <c r="P552" s="216"/>
      <c r="Q552" s="216"/>
      <c r="R552" s="220"/>
      <c r="S552" s="220"/>
      <c r="T552" s="220"/>
      <c r="U552" s="230"/>
      <c r="V552" s="231"/>
      <c r="W552" s="232"/>
      <c r="X552" s="233"/>
      <c r="Y552" s="219"/>
      <c r="Z552" s="219"/>
    </row>
    <row r="553" spans="1:26" ht="15.75" thickBot="1">
      <c r="A553" s="225">
        <v>391</v>
      </c>
      <c r="B553" s="216"/>
      <c r="C553" s="216"/>
      <c r="D553" s="216"/>
      <c r="E553" s="216" t="s">
        <v>1375</v>
      </c>
      <c r="F553" s="226" t="s">
        <v>1376</v>
      </c>
      <c r="G553" s="227"/>
      <c r="H553" s="227"/>
      <c r="I553" s="216"/>
      <c r="J553" s="225">
        <v>319</v>
      </c>
      <c r="K553" s="228">
        <v>1.8402777777777777E-3</v>
      </c>
      <c r="L553" s="225" t="s">
        <v>1162</v>
      </c>
      <c r="M553" s="219"/>
      <c r="N553" s="219"/>
      <c r="O553" s="216"/>
      <c r="P553" s="216"/>
      <c r="Q553" s="216"/>
      <c r="R553" s="220"/>
      <c r="S553" s="220"/>
      <c r="T553" s="220"/>
      <c r="U553" s="230"/>
      <c r="V553" s="231"/>
      <c r="W553" s="232"/>
      <c r="X553" s="233"/>
      <c r="Y553" s="219"/>
      <c r="Z553" s="219"/>
    </row>
    <row r="554" spans="1:26" ht="15.75" thickBot="1">
      <c r="A554" s="225">
        <v>392</v>
      </c>
      <c r="B554" s="216"/>
      <c r="C554" s="216"/>
      <c r="D554" s="216"/>
      <c r="E554" s="216" t="s">
        <v>1377</v>
      </c>
      <c r="F554" s="226" t="s">
        <v>1378</v>
      </c>
      <c r="G554" s="227"/>
      <c r="H554" s="227"/>
      <c r="I554" s="216"/>
      <c r="J554" s="225">
        <v>282</v>
      </c>
      <c r="K554" s="228">
        <v>1.0995370370370371E-3</v>
      </c>
      <c r="L554" s="225" t="s">
        <v>1162</v>
      </c>
      <c r="M554" s="219"/>
      <c r="N554" s="219"/>
      <c r="O554" s="216"/>
      <c r="P554" s="216"/>
      <c r="Q554" s="216"/>
      <c r="R554" s="220"/>
      <c r="S554" s="220"/>
      <c r="T554" s="220"/>
      <c r="U554" s="230"/>
      <c r="V554" s="231"/>
      <c r="W554" s="232"/>
      <c r="X554" s="233"/>
      <c r="Y554" s="219"/>
      <c r="Z554" s="219"/>
    </row>
    <row r="555" spans="1:26" ht="15.75" thickBot="1">
      <c r="A555" s="225">
        <v>393</v>
      </c>
      <c r="B555" s="216"/>
      <c r="C555" s="216"/>
      <c r="D555" s="216"/>
      <c r="E555" s="216" t="s">
        <v>1379</v>
      </c>
      <c r="F555" s="226" t="s">
        <v>1380</v>
      </c>
      <c r="G555" s="227"/>
      <c r="H555" s="227"/>
      <c r="I555" s="216"/>
      <c r="J555" s="225">
        <v>1000</v>
      </c>
      <c r="K555" s="228">
        <v>5.7986111111111112E-3</v>
      </c>
      <c r="L555" s="225" t="s">
        <v>1162</v>
      </c>
      <c r="M555" s="219"/>
      <c r="N555" s="219"/>
      <c r="O555" s="216"/>
      <c r="P555" s="216"/>
      <c r="Q555" s="216"/>
      <c r="R555" s="220"/>
      <c r="S555" s="220"/>
      <c r="T555" s="220"/>
      <c r="U555" s="230"/>
      <c r="V555" s="231"/>
      <c r="W555" s="232"/>
      <c r="X555" s="233"/>
      <c r="Y555" s="219"/>
      <c r="Z555" s="219"/>
    </row>
    <row r="556" spans="1:26" ht="15.75" thickBot="1">
      <c r="A556" s="225">
        <v>394</v>
      </c>
      <c r="B556" s="216"/>
      <c r="C556" s="216"/>
      <c r="D556" s="216"/>
      <c r="E556" s="216" t="s">
        <v>1381</v>
      </c>
      <c r="F556" s="226" t="s">
        <v>1382</v>
      </c>
      <c r="G556" s="227"/>
      <c r="H556" s="227"/>
      <c r="I556" s="216"/>
      <c r="J556" s="225">
        <v>790</v>
      </c>
      <c r="K556" s="228">
        <v>2.8124999999999995E-3</v>
      </c>
      <c r="L556" s="225" t="s">
        <v>1162</v>
      </c>
      <c r="M556" s="219"/>
      <c r="N556" s="219"/>
      <c r="O556" s="216"/>
      <c r="P556" s="216"/>
      <c r="Q556" s="216"/>
      <c r="R556" s="220"/>
      <c r="S556" s="220"/>
      <c r="T556" s="220"/>
      <c r="U556" s="230"/>
      <c r="V556" s="231"/>
      <c r="W556" s="232"/>
      <c r="X556" s="233"/>
      <c r="Y556" s="219"/>
      <c r="Z556" s="219"/>
    </row>
    <row r="557" spans="1:26" ht="15.75" thickBot="1">
      <c r="A557" s="225">
        <v>395</v>
      </c>
      <c r="B557" s="216"/>
      <c r="C557" s="216"/>
      <c r="D557" s="216"/>
      <c r="E557" s="216" t="s">
        <v>1383</v>
      </c>
      <c r="F557" s="226" t="s">
        <v>1384</v>
      </c>
      <c r="G557" s="227"/>
      <c r="H557" s="227"/>
      <c r="I557" s="216"/>
      <c r="J557" s="225">
        <v>270</v>
      </c>
      <c r="K557" s="228">
        <v>7.7546296296296304E-4</v>
      </c>
      <c r="L557" s="225" t="s">
        <v>1162</v>
      </c>
      <c r="M557" s="219"/>
      <c r="N557" s="219"/>
      <c r="O557" s="216"/>
      <c r="P557" s="216"/>
      <c r="Q557" s="216"/>
      <c r="R557" s="220"/>
      <c r="S557" s="220"/>
      <c r="T557" s="220"/>
      <c r="U557" s="230"/>
      <c r="V557" s="231"/>
      <c r="W557" s="232"/>
      <c r="X557" s="233"/>
      <c r="Y557" s="219"/>
      <c r="Z557" s="219"/>
    </row>
    <row r="558" spans="1:26" ht="15.75" thickBot="1">
      <c r="A558" s="225">
        <v>396</v>
      </c>
      <c r="B558" s="216"/>
      <c r="C558" s="216"/>
      <c r="D558" s="216"/>
      <c r="E558" s="216" t="s">
        <v>1385</v>
      </c>
      <c r="F558" s="226" t="s">
        <v>1386</v>
      </c>
      <c r="G558" s="227"/>
      <c r="H558" s="227"/>
      <c r="I558" s="216"/>
      <c r="J558" s="225">
        <v>9500</v>
      </c>
      <c r="K558" s="228">
        <v>1.4224537037037037E-2</v>
      </c>
      <c r="L558" s="225" t="s">
        <v>1162</v>
      </c>
      <c r="M558" s="219"/>
      <c r="N558" s="219"/>
      <c r="O558" s="216"/>
      <c r="P558" s="216"/>
      <c r="Q558" s="216"/>
      <c r="R558" s="220"/>
      <c r="S558" s="220"/>
      <c r="T558" s="220"/>
      <c r="U558" s="230"/>
      <c r="V558" s="231"/>
      <c r="W558" s="232"/>
      <c r="X558" s="233"/>
      <c r="Y558" s="219"/>
      <c r="Z558" s="219"/>
    </row>
    <row r="559" spans="1:26" ht="15.75" thickBot="1">
      <c r="A559" s="225">
        <v>397</v>
      </c>
      <c r="B559" s="216"/>
      <c r="C559" s="216"/>
      <c r="D559" s="216"/>
      <c r="E559" s="216" t="s">
        <v>1387</v>
      </c>
      <c r="F559" s="226" t="s">
        <v>1388</v>
      </c>
      <c r="G559" s="227"/>
      <c r="H559" s="227"/>
      <c r="I559" s="216"/>
      <c r="J559" s="225">
        <v>276</v>
      </c>
      <c r="K559" s="228">
        <v>2.5115740740740741E-3</v>
      </c>
      <c r="L559" s="225" t="s">
        <v>1162</v>
      </c>
      <c r="M559" s="219"/>
      <c r="N559" s="219"/>
      <c r="O559" s="216"/>
      <c r="P559" s="216"/>
      <c r="Q559" s="216"/>
      <c r="R559" s="220"/>
      <c r="S559" s="220"/>
      <c r="T559" s="220"/>
      <c r="U559" s="230"/>
      <c r="V559" s="231"/>
      <c r="W559" s="232"/>
      <c r="X559" s="233"/>
      <c r="Y559" s="219"/>
      <c r="Z559" s="219"/>
    </row>
    <row r="560" spans="1:26" ht="15.75" thickBot="1">
      <c r="A560" s="225">
        <v>398</v>
      </c>
      <c r="B560" s="216"/>
      <c r="C560" s="216"/>
      <c r="D560" s="216"/>
      <c r="E560" s="216" t="s">
        <v>1389</v>
      </c>
      <c r="F560" s="226" t="s">
        <v>1390</v>
      </c>
      <c r="G560" s="227"/>
      <c r="H560" s="227"/>
      <c r="I560" s="216"/>
      <c r="J560" s="225">
        <v>574</v>
      </c>
      <c r="K560" s="228">
        <v>5.0694444444444441E-3</v>
      </c>
      <c r="L560" s="225" t="s">
        <v>1162</v>
      </c>
      <c r="M560" s="219"/>
      <c r="N560" s="219"/>
      <c r="O560" s="216"/>
      <c r="P560" s="216"/>
      <c r="Q560" s="216"/>
      <c r="R560" s="220"/>
      <c r="S560" s="220"/>
      <c r="T560" s="220"/>
      <c r="U560" s="230"/>
      <c r="V560" s="231"/>
      <c r="W560" s="232"/>
      <c r="X560" s="233"/>
      <c r="Y560" s="219"/>
      <c r="Z560" s="219"/>
    </row>
    <row r="561" spans="1:26" ht="15.75" thickBot="1">
      <c r="A561" s="225">
        <v>399</v>
      </c>
      <c r="B561" s="216"/>
      <c r="C561" s="216"/>
      <c r="D561" s="216"/>
      <c r="E561" s="216" t="s">
        <v>1391</v>
      </c>
      <c r="F561" s="226" t="s">
        <v>1392</v>
      </c>
      <c r="G561" s="227"/>
      <c r="H561" s="227"/>
      <c r="I561" s="216"/>
      <c r="J561" s="225">
        <v>612</v>
      </c>
      <c r="K561" s="228">
        <v>1.5393518518518519E-3</v>
      </c>
      <c r="L561" s="225" t="s">
        <v>1162</v>
      </c>
      <c r="M561" s="219"/>
      <c r="N561" s="219"/>
      <c r="O561" s="216"/>
      <c r="P561" s="216"/>
      <c r="Q561" s="216"/>
      <c r="R561" s="220"/>
      <c r="S561" s="220"/>
      <c r="T561" s="220"/>
      <c r="U561" s="230"/>
      <c r="V561" s="231"/>
      <c r="W561" s="232"/>
      <c r="X561" s="233"/>
      <c r="Y561" s="219"/>
      <c r="Z561" s="219"/>
    </row>
    <row r="562" spans="1:26" ht="15.75" thickBot="1">
      <c r="A562" s="225">
        <v>400</v>
      </c>
      <c r="B562" s="216"/>
      <c r="C562" s="216"/>
      <c r="D562" s="216"/>
      <c r="E562" s="216" t="s">
        <v>1393</v>
      </c>
      <c r="F562" s="226" t="s">
        <v>1394</v>
      </c>
      <c r="G562" s="227"/>
      <c r="H562" s="227"/>
      <c r="I562" s="216"/>
      <c r="J562" s="225">
        <v>423</v>
      </c>
      <c r="K562" s="228">
        <v>1.1689814814814816E-3</v>
      </c>
      <c r="L562" s="225" t="s">
        <v>1162</v>
      </c>
      <c r="M562" s="219"/>
      <c r="N562" s="219"/>
      <c r="O562" s="216"/>
      <c r="P562" s="216"/>
      <c r="Q562" s="216"/>
      <c r="R562" s="220"/>
      <c r="S562" s="220"/>
      <c r="T562" s="220"/>
      <c r="U562" s="230"/>
      <c r="V562" s="231"/>
      <c r="W562" s="232"/>
      <c r="X562" s="233"/>
      <c r="Y562" s="219"/>
      <c r="Z562" s="219"/>
    </row>
    <row r="563" spans="1:26" ht="15.75" thickBot="1">
      <c r="A563" s="225">
        <v>401</v>
      </c>
      <c r="B563" s="216"/>
      <c r="C563" s="216"/>
      <c r="D563" s="216"/>
      <c r="E563" s="216" t="s">
        <v>1395</v>
      </c>
      <c r="F563" s="226" t="s">
        <v>1396</v>
      </c>
      <c r="G563" s="227"/>
      <c r="H563" s="227"/>
      <c r="I563" s="216"/>
      <c r="J563" s="225">
        <v>567</v>
      </c>
      <c r="K563" s="228">
        <v>1.3657407407407409E-3</v>
      </c>
      <c r="L563" s="225" t="s">
        <v>1162</v>
      </c>
      <c r="M563" s="219"/>
      <c r="N563" s="219"/>
      <c r="O563" s="216"/>
      <c r="P563" s="216"/>
      <c r="Q563" s="216"/>
      <c r="R563" s="220"/>
      <c r="S563" s="220"/>
      <c r="T563" s="220"/>
      <c r="U563" s="230"/>
      <c r="V563" s="231"/>
      <c r="W563" s="232"/>
      <c r="X563" s="233"/>
      <c r="Y563" s="219"/>
      <c r="Z563" s="219"/>
    </row>
    <row r="564" spans="1:26" ht="15.75" thickBot="1">
      <c r="A564" s="225">
        <v>402</v>
      </c>
      <c r="B564" s="216"/>
      <c r="C564" s="216"/>
      <c r="D564" s="216"/>
      <c r="E564" s="216" t="s">
        <v>1397</v>
      </c>
      <c r="F564" s="226" t="s">
        <v>1398</v>
      </c>
      <c r="G564" s="227"/>
      <c r="H564" s="227"/>
      <c r="I564" s="216"/>
      <c r="J564" s="225">
        <v>231</v>
      </c>
      <c r="K564" s="228">
        <v>2.2685185185185182E-3</v>
      </c>
      <c r="L564" s="225" t="s">
        <v>1162</v>
      </c>
      <c r="M564" s="219"/>
      <c r="N564" s="219"/>
      <c r="O564" s="216"/>
      <c r="P564" s="216"/>
      <c r="Q564" s="216"/>
      <c r="R564" s="220"/>
      <c r="S564" s="220"/>
      <c r="T564" s="220"/>
      <c r="U564" s="230"/>
      <c r="V564" s="231"/>
      <c r="W564" s="232"/>
      <c r="X564" s="233"/>
      <c r="Y564" s="219"/>
      <c r="Z564" s="219"/>
    </row>
    <row r="565" spans="1:26" ht="15.75" thickBot="1">
      <c r="A565" s="225">
        <v>403</v>
      </c>
      <c r="B565" s="216"/>
      <c r="C565" s="216"/>
      <c r="D565" s="216"/>
      <c r="E565" s="216" t="s">
        <v>1399</v>
      </c>
      <c r="F565" s="226" t="s">
        <v>1400</v>
      </c>
      <c r="G565" s="227"/>
      <c r="H565" s="227"/>
      <c r="I565" s="216"/>
      <c r="J565" s="225">
        <v>415</v>
      </c>
      <c r="K565" s="228">
        <v>2.8935185185185188E-3</v>
      </c>
      <c r="L565" s="225" t="s">
        <v>1162</v>
      </c>
      <c r="M565" s="219"/>
      <c r="N565" s="219"/>
      <c r="O565" s="216"/>
      <c r="P565" s="216"/>
      <c r="Q565" s="216"/>
      <c r="R565" s="220"/>
      <c r="S565" s="220"/>
      <c r="T565" s="220"/>
      <c r="U565" s="230"/>
      <c r="V565" s="231"/>
      <c r="W565" s="232"/>
      <c r="X565" s="233"/>
      <c r="Y565" s="219"/>
      <c r="Z565" s="219"/>
    </row>
    <row r="566" spans="1:26" ht="15.75" thickBot="1">
      <c r="A566" s="225">
        <v>404</v>
      </c>
      <c r="B566" s="216"/>
      <c r="C566" s="216"/>
      <c r="D566" s="216"/>
      <c r="E566" s="216" t="s">
        <v>1401</v>
      </c>
      <c r="F566" s="226" t="s">
        <v>1402</v>
      </c>
      <c r="G566" s="227"/>
      <c r="H566" s="227"/>
      <c r="I566" s="216"/>
      <c r="J566" s="225">
        <v>553</v>
      </c>
      <c r="K566" s="228">
        <v>2.1990740740740742E-3</v>
      </c>
      <c r="L566" s="225" t="s">
        <v>1162</v>
      </c>
      <c r="M566" s="219"/>
      <c r="N566" s="219"/>
      <c r="O566" s="216"/>
      <c r="P566" s="216"/>
      <c r="Q566" s="216"/>
      <c r="R566" s="220"/>
      <c r="S566" s="220"/>
      <c r="T566" s="220"/>
      <c r="U566" s="230"/>
      <c r="V566" s="231"/>
      <c r="W566" s="232"/>
      <c r="X566" s="233"/>
      <c r="Y566" s="219"/>
      <c r="Z566" s="219"/>
    </row>
    <row r="567" spans="1:26" ht="15.75" thickBot="1">
      <c r="A567" s="225">
        <v>405</v>
      </c>
      <c r="B567" s="216"/>
      <c r="C567" s="216"/>
      <c r="D567" s="216"/>
      <c r="E567" s="216" t="s">
        <v>1403</v>
      </c>
      <c r="F567" s="226" t="s">
        <v>1404</v>
      </c>
      <c r="G567" s="227"/>
      <c r="H567" s="227"/>
      <c r="I567" s="216"/>
      <c r="J567" s="225">
        <v>353</v>
      </c>
      <c r="K567" s="228">
        <v>1.3541666666666667E-3</v>
      </c>
      <c r="L567" s="225" t="s">
        <v>1162</v>
      </c>
      <c r="M567" s="219"/>
      <c r="N567" s="219"/>
      <c r="O567" s="216"/>
      <c r="P567" s="216"/>
      <c r="Q567" s="216"/>
      <c r="R567" s="220"/>
      <c r="S567" s="220"/>
      <c r="T567" s="220"/>
      <c r="U567" s="230"/>
      <c r="V567" s="231"/>
      <c r="W567" s="232"/>
      <c r="X567" s="233"/>
      <c r="Y567" s="219"/>
      <c r="Z567" s="219"/>
    </row>
    <row r="568" spans="1:26" ht="15.75" thickBot="1">
      <c r="A568" s="225">
        <v>406</v>
      </c>
      <c r="B568" s="216"/>
      <c r="C568" s="216"/>
      <c r="D568" s="216"/>
      <c r="E568" s="216" t="s">
        <v>1405</v>
      </c>
      <c r="F568" s="226" t="s">
        <v>1406</v>
      </c>
      <c r="G568" s="227"/>
      <c r="H568" s="227"/>
      <c r="I568" s="216"/>
      <c r="J568" s="225">
        <v>798</v>
      </c>
      <c r="K568" s="228">
        <v>1.8287037037037037E-3</v>
      </c>
      <c r="L568" s="225" t="s">
        <v>1162</v>
      </c>
      <c r="M568" s="219"/>
      <c r="N568" s="219"/>
      <c r="O568" s="216"/>
      <c r="P568" s="216"/>
      <c r="Q568" s="216"/>
      <c r="R568" s="220"/>
      <c r="S568" s="220"/>
      <c r="T568" s="220"/>
      <c r="U568" s="230"/>
      <c r="V568" s="231"/>
      <c r="W568" s="232"/>
      <c r="X568" s="233"/>
      <c r="Y568" s="219"/>
      <c r="Z568" s="219"/>
    </row>
    <row r="569" spans="1:26" ht="15.75" thickBot="1">
      <c r="A569" s="225">
        <v>407</v>
      </c>
      <c r="B569" s="216"/>
      <c r="C569" s="216"/>
      <c r="D569" s="216"/>
      <c r="E569" s="216" t="s">
        <v>1407</v>
      </c>
      <c r="F569" s="226" t="s">
        <v>1408</v>
      </c>
      <c r="G569" s="227"/>
      <c r="H569" s="227"/>
      <c r="I569" s="216"/>
      <c r="J569" s="225">
        <v>632</v>
      </c>
      <c r="K569" s="228">
        <v>5.9490740740740745E-3</v>
      </c>
      <c r="L569" s="225" t="s">
        <v>1162</v>
      </c>
      <c r="M569" s="219"/>
      <c r="N569" s="219"/>
      <c r="O569" s="216"/>
      <c r="P569" s="216"/>
      <c r="Q569" s="216"/>
      <c r="R569" s="220"/>
      <c r="S569" s="220"/>
      <c r="T569" s="220"/>
      <c r="U569" s="230"/>
      <c r="V569" s="231"/>
      <c r="W569" s="232"/>
      <c r="X569" s="233"/>
      <c r="Y569" s="219"/>
      <c r="Z569" s="219"/>
    </row>
    <row r="570" spans="1:26" ht="15.75" thickBot="1">
      <c r="A570" s="225">
        <v>408</v>
      </c>
      <c r="B570" s="216"/>
      <c r="C570" s="216"/>
      <c r="D570" s="216"/>
      <c r="E570" s="216" t="s">
        <v>1409</v>
      </c>
      <c r="F570" s="226" t="s">
        <v>1410</v>
      </c>
      <c r="G570" s="227"/>
      <c r="H570" s="227"/>
      <c r="I570" s="216"/>
      <c r="J570" s="225">
        <v>363</v>
      </c>
      <c r="K570" s="228">
        <v>1.4583333333333334E-3</v>
      </c>
      <c r="L570" s="225" t="s">
        <v>1162</v>
      </c>
      <c r="M570" s="219"/>
      <c r="N570" s="219"/>
      <c r="O570" s="216"/>
      <c r="P570" s="216"/>
      <c r="Q570" s="216"/>
      <c r="R570" s="220"/>
      <c r="S570" s="220"/>
      <c r="T570" s="220"/>
      <c r="U570" s="230"/>
      <c r="V570" s="231"/>
      <c r="W570" s="232"/>
      <c r="X570" s="233"/>
      <c r="Y570" s="219"/>
      <c r="Z570" s="219"/>
    </row>
    <row r="571" spans="1:26" ht="15.75" thickBot="1">
      <c r="A571" s="225">
        <v>409</v>
      </c>
      <c r="B571" s="216"/>
      <c r="C571" s="216"/>
      <c r="D571" s="216"/>
      <c r="E571" s="216" t="s">
        <v>1411</v>
      </c>
      <c r="F571" s="226" t="s">
        <v>1412</v>
      </c>
      <c r="G571" s="227"/>
      <c r="H571" s="227"/>
      <c r="I571" s="216"/>
      <c r="J571" s="225">
        <v>2400</v>
      </c>
      <c r="K571" s="228">
        <v>2.0370370370370373E-3</v>
      </c>
      <c r="L571" s="225" t="s">
        <v>1162</v>
      </c>
      <c r="M571" s="219"/>
      <c r="N571" s="219"/>
      <c r="O571" s="216"/>
      <c r="P571" s="216"/>
      <c r="Q571" s="216"/>
      <c r="R571" s="220"/>
      <c r="S571" s="220"/>
      <c r="T571" s="220"/>
      <c r="U571" s="230"/>
      <c r="V571" s="231"/>
      <c r="W571" s="232"/>
      <c r="X571" s="233"/>
      <c r="Y571" s="219"/>
      <c r="Z571" s="219"/>
    </row>
    <row r="572" spans="1:26" ht="15.75" thickBot="1">
      <c r="A572" s="225">
        <v>410</v>
      </c>
      <c r="B572" s="216"/>
      <c r="C572" s="216"/>
      <c r="D572" s="216"/>
      <c r="E572" s="216" t="s">
        <v>1413</v>
      </c>
      <c r="F572" s="226" t="s">
        <v>1414</v>
      </c>
      <c r="G572" s="227"/>
      <c r="H572" s="227"/>
      <c r="I572" s="216"/>
      <c r="J572" s="225">
        <v>513</v>
      </c>
      <c r="K572" s="228">
        <v>7.6388888888888893E-4</v>
      </c>
      <c r="L572" s="225" t="s">
        <v>1162</v>
      </c>
      <c r="M572" s="219"/>
      <c r="N572" s="219"/>
      <c r="O572" s="216"/>
      <c r="P572" s="216"/>
      <c r="Q572" s="216"/>
      <c r="R572" s="220"/>
      <c r="S572" s="220"/>
      <c r="T572" s="220"/>
      <c r="U572" s="230"/>
      <c r="V572" s="231"/>
      <c r="W572" s="232"/>
      <c r="X572" s="233"/>
      <c r="Y572" s="219"/>
      <c r="Z572" s="219"/>
    </row>
    <row r="573" spans="1:26" ht="15.75" thickBot="1">
      <c r="A573" s="225">
        <v>411</v>
      </c>
      <c r="B573" s="216"/>
      <c r="C573" s="216"/>
      <c r="D573" s="216"/>
      <c r="E573" s="216" t="s">
        <v>1415</v>
      </c>
      <c r="F573" s="226" t="s">
        <v>1416</v>
      </c>
      <c r="G573" s="227"/>
      <c r="H573" s="227"/>
      <c r="I573" s="216"/>
      <c r="J573" s="225">
        <v>765</v>
      </c>
      <c r="K573" s="228">
        <v>2.615740740740741E-3</v>
      </c>
      <c r="L573" s="225" t="s">
        <v>1162</v>
      </c>
      <c r="M573" s="219"/>
      <c r="N573" s="219"/>
      <c r="O573" s="216"/>
      <c r="P573" s="216"/>
      <c r="Q573" s="216"/>
      <c r="R573" s="220"/>
      <c r="S573" s="220"/>
      <c r="T573" s="220"/>
      <c r="U573" s="230"/>
      <c r="V573" s="231"/>
      <c r="W573" s="232"/>
      <c r="X573" s="233"/>
      <c r="Y573" s="219"/>
      <c r="Z573" s="219"/>
    </row>
    <row r="574" spans="1:26" ht="15.75" thickBot="1">
      <c r="A574" s="225">
        <v>412</v>
      </c>
      <c r="B574" s="216"/>
      <c r="C574" s="216"/>
      <c r="D574" s="216"/>
      <c r="E574" s="216" t="s">
        <v>1417</v>
      </c>
      <c r="F574" s="226" t="s">
        <v>1418</v>
      </c>
      <c r="G574" s="227"/>
      <c r="H574" s="227"/>
      <c r="I574" s="216"/>
      <c r="J574" s="225">
        <v>477</v>
      </c>
      <c r="K574" s="228">
        <v>2.9629629629629628E-3</v>
      </c>
      <c r="L574" s="225" t="s">
        <v>1162</v>
      </c>
      <c r="M574" s="219"/>
      <c r="N574" s="219"/>
      <c r="O574" s="216"/>
      <c r="P574" s="216"/>
      <c r="Q574" s="216"/>
      <c r="R574" s="220"/>
      <c r="S574" s="220"/>
      <c r="T574" s="220"/>
      <c r="U574" s="230"/>
      <c r="V574" s="231"/>
      <c r="W574" s="232"/>
      <c r="X574" s="233"/>
      <c r="Y574" s="219"/>
      <c r="Z574" s="219"/>
    </row>
    <row r="575" spans="1:26" ht="15.75" thickBot="1">
      <c r="A575" s="225">
        <v>413</v>
      </c>
      <c r="B575" s="216"/>
      <c r="C575" s="216"/>
      <c r="D575" s="216"/>
      <c r="E575" s="216" t="s">
        <v>1419</v>
      </c>
      <c r="F575" s="226" t="s">
        <v>1420</v>
      </c>
      <c r="G575" s="227"/>
      <c r="H575" s="227"/>
      <c r="I575" s="216"/>
      <c r="J575" s="225">
        <v>742</v>
      </c>
      <c r="K575" s="228">
        <v>2.627314814814815E-3</v>
      </c>
      <c r="L575" s="225" t="s">
        <v>1162</v>
      </c>
      <c r="M575" s="219"/>
      <c r="N575" s="219"/>
      <c r="O575" s="216"/>
      <c r="P575" s="216"/>
      <c r="Q575" s="216"/>
      <c r="R575" s="220"/>
      <c r="S575" s="220"/>
      <c r="T575" s="220"/>
      <c r="U575" s="230"/>
      <c r="V575" s="231"/>
      <c r="W575" s="232"/>
      <c r="X575" s="233"/>
      <c r="Y575" s="219"/>
      <c r="Z575" s="219"/>
    </row>
    <row r="576" spans="1:26" ht="15.75" thickBot="1">
      <c r="A576" s="225">
        <v>414</v>
      </c>
      <c r="B576" s="216"/>
      <c r="C576" s="216"/>
      <c r="D576" s="216"/>
      <c r="E576" s="216" t="s">
        <v>1421</v>
      </c>
      <c r="F576" s="226" t="s">
        <v>1422</v>
      </c>
      <c r="G576" s="227"/>
      <c r="H576" s="227"/>
      <c r="I576" s="216"/>
      <c r="J576" s="225">
        <v>540</v>
      </c>
      <c r="K576" s="228">
        <v>3.9236111111111112E-3</v>
      </c>
      <c r="L576" s="225" t="s">
        <v>1162</v>
      </c>
      <c r="M576" s="219"/>
      <c r="N576" s="219"/>
      <c r="O576" s="216"/>
      <c r="P576" s="216"/>
      <c r="Q576" s="216"/>
      <c r="R576" s="220"/>
      <c r="S576" s="220"/>
      <c r="T576" s="220"/>
      <c r="U576" s="230"/>
      <c r="V576" s="231"/>
      <c r="W576" s="232"/>
      <c r="X576" s="233"/>
      <c r="Y576" s="219"/>
      <c r="Z576" s="219"/>
    </row>
    <row r="577" spans="1:26" ht="15.75" thickBot="1">
      <c r="A577" s="225">
        <v>415</v>
      </c>
      <c r="B577" s="216"/>
      <c r="C577" s="216"/>
      <c r="D577" s="216"/>
      <c r="E577" s="216" t="s">
        <v>1423</v>
      </c>
      <c r="F577" s="226" t="s">
        <v>1424</v>
      </c>
      <c r="G577" s="227"/>
      <c r="H577" s="227"/>
      <c r="I577" s="216"/>
      <c r="J577" s="225">
        <v>657</v>
      </c>
      <c r="K577" s="228">
        <v>1.0995370370370371E-3</v>
      </c>
      <c r="L577" s="225" t="s">
        <v>1162</v>
      </c>
      <c r="M577" s="219"/>
      <c r="N577" s="219"/>
      <c r="O577" s="216"/>
      <c r="P577" s="216"/>
      <c r="Q577" s="216"/>
      <c r="R577" s="220"/>
      <c r="S577" s="220"/>
      <c r="T577" s="220"/>
      <c r="U577" s="230"/>
      <c r="V577" s="231"/>
      <c r="W577" s="232"/>
      <c r="X577" s="233"/>
      <c r="Y577" s="219"/>
      <c r="Z577" s="219"/>
    </row>
    <row r="578" spans="1:26" ht="15.75" thickBot="1">
      <c r="A578" s="225">
        <v>416</v>
      </c>
      <c r="B578" s="216"/>
      <c r="C578" s="216"/>
      <c r="D578" s="216"/>
      <c r="E578" s="216" t="s">
        <v>1425</v>
      </c>
      <c r="F578" s="226" t="s">
        <v>1426</v>
      </c>
      <c r="G578" s="227"/>
      <c r="H578" s="227"/>
      <c r="I578" s="216"/>
      <c r="J578" s="225">
        <v>535</v>
      </c>
      <c r="K578" s="228">
        <v>1.7708333333333332E-3</v>
      </c>
      <c r="L578" s="225" t="s">
        <v>1162</v>
      </c>
      <c r="M578" s="219"/>
      <c r="N578" s="219"/>
      <c r="O578" s="216"/>
      <c r="P578" s="216"/>
      <c r="Q578" s="216"/>
      <c r="R578" s="220"/>
      <c r="S578" s="220"/>
      <c r="T578" s="220"/>
      <c r="U578" s="230"/>
      <c r="V578" s="231"/>
      <c r="W578" s="232"/>
      <c r="X578" s="233"/>
      <c r="Y578" s="219"/>
      <c r="Z578" s="219"/>
    </row>
    <row r="579" spans="1:26" ht="15.75" thickBot="1">
      <c r="A579" s="225">
        <v>417</v>
      </c>
      <c r="B579" s="216"/>
      <c r="C579" s="216"/>
      <c r="D579" s="216"/>
      <c r="E579" s="216" t="s">
        <v>1427</v>
      </c>
      <c r="F579" s="226" t="s">
        <v>1428</v>
      </c>
      <c r="G579" s="227"/>
      <c r="H579" s="227"/>
      <c r="I579" s="216"/>
      <c r="J579" s="225">
        <v>6400</v>
      </c>
      <c r="K579" s="228">
        <v>1.8807870370370371E-2</v>
      </c>
      <c r="L579" s="225" t="s">
        <v>1162</v>
      </c>
      <c r="M579" s="219"/>
      <c r="N579" s="219"/>
      <c r="O579" s="216"/>
      <c r="P579" s="216"/>
      <c r="Q579" s="216"/>
      <c r="R579" s="220"/>
      <c r="S579" s="220"/>
      <c r="T579" s="220"/>
      <c r="U579" s="230"/>
      <c r="V579" s="231"/>
      <c r="W579" s="232"/>
      <c r="X579" s="233"/>
      <c r="Y579" s="219"/>
      <c r="Z579" s="219"/>
    </row>
    <row r="580" spans="1:26" ht="15.75" thickBot="1">
      <c r="A580" s="225">
        <v>418</v>
      </c>
      <c r="B580" s="216"/>
      <c r="C580" s="216"/>
      <c r="D580" s="216"/>
      <c r="E580" s="216" t="s">
        <v>1429</v>
      </c>
      <c r="F580" s="226" t="s">
        <v>1430</v>
      </c>
      <c r="G580" s="227"/>
      <c r="H580" s="227"/>
      <c r="I580" s="216"/>
      <c r="J580" s="225">
        <v>257</v>
      </c>
      <c r="K580" s="228">
        <v>2.0486111111111113E-3</v>
      </c>
      <c r="L580" s="225" t="s">
        <v>1162</v>
      </c>
      <c r="M580" s="219"/>
      <c r="N580" s="219"/>
      <c r="O580" s="216"/>
      <c r="P580" s="216"/>
      <c r="Q580" s="216"/>
      <c r="R580" s="220"/>
      <c r="S580" s="220"/>
      <c r="T580" s="220"/>
      <c r="U580" s="230"/>
      <c r="V580" s="231"/>
      <c r="W580" s="232"/>
      <c r="X580" s="233"/>
      <c r="Y580" s="219"/>
      <c r="Z580" s="219"/>
    </row>
    <row r="581" spans="1:26" ht="15.75" thickBot="1">
      <c r="A581" s="225">
        <v>419</v>
      </c>
      <c r="B581" s="216"/>
      <c r="C581" s="216"/>
      <c r="D581" s="216"/>
      <c r="E581" s="216" t="s">
        <v>1431</v>
      </c>
      <c r="F581" s="226" t="s">
        <v>1432</v>
      </c>
      <c r="G581" s="227"/>
      <c r="H581" s="227"/>
      <c r="I581" s="216"/>
      <c r="J581" s="225">
        <v>485</v>
      </c>
      <c r="K581" s="228">
        <v>1.5624999999999999E-3</v>
      </c>
      <c r="L581" s="225" t="s">
        <v>1162</v>
      </c>
      <c r="M581" s="219"/>
      <c r="N581" s="219"/>
      <c r="O581" s="216"/>
      <c r="P581" s="216"/>
      <c r="Q581" s="216"/>
      <c r="R581" s="220"/>
      <c r="S581" s="220"/>
      <c r="T581" s="220"/>
      <c r="U581" s="230"/>
      <c r="V581" s="231"/>
      <c r="W581" s="232"/>
      <c r="X581" s="233"/>
      <c r="Y581" s="219"/>
      <c r="Z581" s="219"/>
    </row>
    <row r="582" spans="1:26" ht="15.75" thickBot="1">
      <c r="A582" s="225">
        <v>420</v>
      </c>
      <c r="B582" s="216"/>
      <c r="C582" s="216"/>
      <c r="D582" s="216"/>
      <c r="E582" s="216" t="s">
        <v>1433</v>
      </c>
      <c r="F582" s="226" t="s">
        <v>1434</v>
      </c>
      <c r="G582" s="227"/>
      <c r="H582" s="227"/>
      <c r="I582" s="216"/>
      <c r="J582" s="225">
        <v>994</v>
      </c>
      <c r="K582" s="228">
        <v>3.5879629629629635E-4</v>
      </c>
      <c r="L582" s="225" t="s">
        <v>1162</v>
      </c>
      <c r="M582" s="219"/>
      <c r="N582" s="219"/>
      <c r="O582" s="216"/>
      <c r="P582" s="216"/>
      <c r="Q582" s="216"/>
      <c r="R582" s="220"/>
      <c r="S582" s="220"/>
      <c r="T582" s="220"/>
      <c r="U582" s="230"/>
      <c r="V582" s="231"/>
      <c r="W582" s="232"/>
      <c r="X582" s="233"/>
      <c r="Y582" s="219"/>
      <c r="Z582" s="219"/>
    </row>
    <row r="583" spans="1:26" ht="15.75" thickBot="1">
      <c r="A583" s="225">
        <v>421</v>
      </c>
      <c r="B583" s="216"/>
      <c r="C583" s="216"/>
      <c r="D583" s="216"/>
      <c r="E583" s="216" t="s">
        <v>1435</v>
      </c>
      <c r="F583" s="226" t="s">
        <v>1436</v>
      </c>
      <c r="G583" s="227"/>
      <c r="H583" s="227"/>
      <c r="I583" s="216"/>
      <c r="J583" s="225">
        <v>3300</v>
      </c>
      <c r="K583" s="228">
        <v>3.8194444444444443E-3</v>
      </c>
      <c r="L583" s="225" t="s">
        <v>1162</v>
      </c>
      <c r="M583" s="219"/>
      <c r="N583" s="219"/>
      <c r="O583" s="216"/>
      <c r="P583" s="216"/>
      <c r="Q583" s="216"/>
      <c r="R583" s="220"/>
      <c r="S583" s="220"/>
      <c r="T583" s="220"/>
      <c r="U583" s="230"/>
      <c r="V583" s="231"/>
      <c r="W583" s="232"/>
      <c r="X583" s="233"/>
      <c r="Y583" s="219"/>
      <c r="Z583" s="219"/>
    </row>
    <row r="584" spans="1:26" ht="15.75" thickBot="1">
      <c r="A584" s="225">
        <v>422</v>
      </c>
      <c r="B584" s="216"/>
      <c r="C584" s="216"/>
      <c r="D584" s="216"/>
      <c r="E584" s="216" t="s">
        <v>1437</v>
      </c>
      <c r="F584" s="226" t="s">
        <v>1438</v>
      </c>
      <c r="G584" s="227"/>
      <c r="H584" s="227"/>
      <c r="I584" s="216"/>
      <c r="J584" s="225">
        <v>376</v>
      </c>
      <c r="K584" s="228">
        <v>1.6203703703703703E-3</v>
      </c>
      <c r="L584" s="225" t="s">
        <v>1162</v>
      </c>
      <c r="M584" s="219"/>
      <c r="N584" s="219"/>
      <c r="O584" s="216"/>
      <c r="P584" s="216"/>
      <c r="Q584" s="216"/>
      <c r="R584" s="220"/>
      <c r="S584" s="220"/>
      <c r="T584" s="220"/>
      <c r="U584" s="230"/>
      <c r="V584" s="231"/>
      <c r="W584" s="232"/>
      <c r="X584" s="233"/>
      <c r="Y584" s="219"/>
      <c r="Z584" s="219"/>
    </row>
    <row r="585" spans="1:26" ht="15.75" thickBot="1">
      <c r="A585" s="225">
        <v>423</v>
      </c>
      <c r="B585" s="216"/>
      <c r="C585" s="216"/>
      <c r="D585" s="216"/>
      <c r="E585" s="216" t="s">
        <v>1439</v>
      </c>
      <c r="F585" s="226" t="s">
        <v>1440</v>
      </c>
      <c r="G585" s="227"/>
      <c r="H585" s="227"/>
      <c r="I585" s="216"/>
      <c r="J585" s="225">
        <v>263</v>
      </c>
      <c r="K585" s="228">
        <v>4.5138888888888892E-4</v>
      </c>
      <c r="L585" s="225" t="s">
        <v>1162</v>
      </c>
      <c r="M585" s="219"/>
      <c r="N585" s="219"/>
      <c r="O585" s="216"/>
      <c r="P585" s="216"/>
      <c r="Q585" s="216"/>
      <c r="R585" s="220"/>
      <c r="S585" s="220"/>
      <c r="T585" s="220"/>
      <c r="U585" s="230"/>
      <c r="V585" s="231"/>
      <c r="W585" s="232"/>
      <c r="X585" s="233"/>
      <c r="Y585" s="219"/>
      <c r="Z585" s="219"/>
    </row>
    <row r="586" spans="1:26" ht="15.75" thickBot="1">
      <c r="A586" s="225">
        <v>424</v>
      </c>
      <c r="B586" s="216"/>
      <c r="C586" s="216"/>
      <c r="D586" s="216"/>
      <c r="E586" s="216" t="s">
        <v>1441</v>
      </c>
      <c r="F586" s="226" t="s">
        <v>1442</v>
      </c>
      <c r="G586" s="227"/>
      <c r="H586" s="227"/>
      <c r="I586" s="216"/>
      <c r="J586" s="225">
        <v>309</v>
      </c>
      <c r="K586" s="228">
        <v>1.8171296296296297E-3</v>
      </c>
      <c r="L586" s="225" t="s">
        <v>1162</v>
      </c>
      <c r="M586" s="219"/>
      <c r="N586" s="219"/>
      <c r="O586" s="216"/>
      <c r="P586" s="216"/>
      <c r="Q586" s="216"/>
      <c r="R586" s="220"/>
      <c r="S586" s="220"/>
      <c r="T586" s="220"/>
      <c r="U586" s="230"/>
      <c r="V586" s="231"/>
      <c r="W586" s="232"/>
      <c r="X586" s="233"/>
      <c r="Y586" s="219"/>
      <c r="Z586" s="219"/>
    </row>
    <row r="587" spans="1:26" ht="15.75" thickBot="1">
      <c r="A587" s="225">
        <v>425</v>
      </c>
      <c r="B587" s="216"/>
      <c r="C587" s="216"/>
      <c r="D587" s="216"/>
      <c r="E587" s="216" t="s">
        <v>1443</v>
      </c>
      <c r="F587" s="226" t="s">
        <v>1444</v>
      </c>
      <c r="G587" s="227"/>
      <c r="H587" s="227"/>
      <c r="I587" s="216"/>
      <c r="J587" s="225">
        <v>899</v>
      </c>
      <c r="K587" s="228">
        <v>8.9120370370370362E-4</v>
      </c>
      <c r="L587" s="225" t="s">
        <v>1162</v>
      </c>
      <c r="M587" s="219"/>
      <c r="N587" s="219"/>
      <c r="O587" s="216"/>
      <c r="P587" s="216"/>
      <c r="Q587" s="216"/>
      <c r="R587" s="220"/>
      <c r="S587" s="220"/>
      <c r="T587" s="220"/>
      <c r="U587" s="230"/>
      <c r="V587" s="231"/>
      <c r="W587" s="232"/>
      <c r="X587" s="233"/>
      <c r="Y587" s="219"/>
      <c r="Z587" s="219"/>
    </row>
    <row r="588" spans="1:26" ht="15.75" thickBot="1">
      <c r="A588" s="225">
        <v>426</v>
      </c>
      <c r="B588" s="216"/>
      <c r="C588" s="216"/>
      <c r="D588" s="216"/>
      <c r="E588" s="216" t="s">
        <v>1445</v>
      </c>
      <c r="F588" s="226" t="s">
        <v>1446</v>
      </c>
      <c r="G588" s="227"/>
      <c r="H588" s="227"/>
      <c r="I588" s="216"/>
      <c r="J588" s="225">
        <v>1400</v>
      </c>
      <c r="K588" s="228">
        <v>1.736111111111111E-3</v>
      </c>
      <c r="L588" s="225" t="s">
        <v>1162</v>
      </c>
      <c r="M588" s="219"/>
      <c r="N588" s="219"/>
      <c r="O588" s="216"/>
      <c r="P588" s="216"/>
      <c r="Q588" s="216"/>
      <c r="R588" s="220"/>
      <c r="S588" s="220"/>
      <c r="T588" s="220"/>
      <c r="U588" s="230"/>
      <c r="V588" s="231"/>
      <c r="W588" s="232"/>
      <c r="X588" s="233"/>
      <c r="Y588" s="219"/>
      <c r="Z588" s="219"/>
    </row>
    <row r="589" spans="1:26" ht="15.75" thickBot="1">
      <c r="A589" s="225">
        <v>427</v>
      </c>
      <c r="B589" s="216"/>
      <c r="C589" s="216"/>
      <c r="D589" s="216"/>
      <c r="E589" s="216" t="s">
        <v>1447</v>
      </c>
      <c r="F589" s="226" t="s">
        <v>1448</v>
      </c>
      <c r="G589" s="227"/>
      <c r="H589" s="227"/>
      <c r="I589" s="216"/>
      <c r="J589" s="225">
        <v>328</v>
      </c>
      <c r="K589" s="228">
        <v>2.3958333333333336E-3</v>
      </c>
      <c r="L589" s="225" t="s">
        <v>1162</v>
      </c>
      <c r="M589" s="219"/>
      <c r="N589" s="219"/>
      <c r="O589" s="216"/>
      <c r="P589" s="216"/>
      <c r="Q589" s="216"/>
      <c r="R589" s="220"/>
      <c r="S589" s="220"/>
      <c r="T589" s="220"/>
      <c r="U589" s="230"/>
      <c r="V589" s="231"/>
      <c r="W589" s="232"/>
      <c r="X589" s="233"/>
      <c r="Y589" s="219"/>
      <c r="Z589" s="219"/>
    </row>
    <row r="590" spans="1:26" ht="15.75" thickBot="1">
      <c r="A590" s="225">
        <v>428</v>
      </c>
      <c r="B590" s="216"/>
      <c r="C590" s="216"/>
      <c r="D590" s="216"/>
      <c r="E590" s="216" t="s">
        <v>1449</v>
      </c>
      <c r="F590" s="226" t="s">
        <v>1450</v>
      </c>
      <c r="G590" s="227"/>
      <c r="H590" s="227"/>
      <c r="I590" s="216"/>
      <c r="J590" s="225">
        <v>776</v>
      </c>
      <c r="K590" s="228">
        <v>1.3078703703703705E-3</v>
      </c>
      <c r="L590" s="225" t="s">
        <v>1162</v>
      </c>
      <c r="M590" s="219"/>
      <c r="N590" s="219"/>
      <c r="O590" s="216"/>
      <c r="P590" s="216"/>
      <c r="Q590" s="216"/>
      <c r="R590" s="220"/>
      <c r="S590" s="220"/>
      <c r="T590" s="220"/>
      <c r="U590" s="230"/>
      <c r="V590" s="231"/>
      <c r="W590" s="232"/>
      <c r="X590" s="233"/>
      <c r="Y590" s="219"/>
      <c r="Z590" s="219"/>
    </row>
    <row r="591" spans="1:26" ht="15.75" thickBot="1">
      <c r="A591" s="225">
        <v>429</v>
      </c>
      <c r="B591" s="216"/>
      <c r="C591" s="216"/>
      <c r="D591" s="216"/>
      <c r="E591" s="216" t="s">
        <v>1451</v>
      </c>
      <c r="F591" s="226" t="s">
        <v>1452</v>
      </c>
      <c r="G591" s="227"/>
      <c r="H591" s="227"/>
      <c r="I591" s="216"/>
      <c r="J591" s="225">
        <v>241</v>
      </c>
      <c r="K591" s="228">
        <v>1.2962962962962963E-3</v>
      </c>
      <c r="L591" s="225" t="s">
        <v>1162</v>
      </c>
      <c r="M591" s="219"/>
      <c r="N591" s="219"/>
      <c r="O591" s="216"/>
      <c r="P591" s="216"/>
      <c r="Q591" s="216"/>
      <c r="R591" s="220"/>
      <c r="S591" s="220"/>
      <c r="T591" s="220"/>
      <c r="U591" s="230"/>
      <c r="V591" s="231"/>
      <c r="W591" s="232"/>
      <c r="X591" s="233"/>
      <c r="Y591" s="219"/>
      <c r="Z591" s="219"/>
    </row>
    <row r="592" spans="1:26" ht="15.75" thickBot="1">
      <c r="A592" s="225">
        <v>430</v>
      </c>
      <c r="B592" s="216"/>
      <c r="C592" s="216"/>
      <c r="D592" s="216"/>
      <c r="E592" s="216" t="s">
        <v>1453</v>
      </c>
      <c r="F592" s="226" t="s">
        <v>1454</v>
      </c>
      <c r="G592" s="227"/>
      <c r="H592" s="227"/>
      <c r="I592" s="216"/>
      <c r="J592" s="225">
        <v>440</v>
      </c>
      <c r="K592" s="228">
        <v>4.386574074074074E-3</v>
      </c>
      <c r="L592" s="225" t="s">
        <v>1162</v>
      </c>
      <c r="M592" s="219"/>
      <c r="N592" s="219"/>
      <c r="O592" s="216"/>
      <c r="P592" s="216"/>
      <c r="Q592" s="216"/>
      <c r="R592" s="220"/>
      <c r="S592" s="220"/>
      <c r="T592" s="220"/>
      <c r="U592" s="230"/>
      <c r="V592" s="231"/>
      <c r="W592" s="232"/>
      <c r="X592" s="233"/>
      <c r="Y592" s="219"/>
      <c r="Z592" s="219"/>
    </row>
    <row r="593" spans="1:26" ht="15.75" thickBot="1">
      <c r="A593" s="225">
        <v>431</v>
      </c>
      <c r="B593" s="216"/>
      <c r="C593" s="216"/>
      <c r="D593" s="216"/>
      <c r="E593" s="216" t="s">
        <v>1455</v>
      </c>
      <c r="F593" s="226" t="s">
        <v>1456</v>
      </c>
      <c r="G593" s="227"/>
      <c r="H593" s="227"/>
      <c r="I593" s="216"/>
      <c r="J593" s="225">
        <v>801</v>
      </c>
      <c r="K593" s="228">
        <v>3.414351851851852E-3</v>
      </c>
      <c r="L593" s="225" t="s">
        <v>1162</v>
      </c>
      <c r="M593" s="219"/>
      <c r="N593" s="219"/>
      <c r="O593" s="216"/>
      <c r="P593" s="216"/>
      <c r="Q593" s="216"/>
      <c r="R593" s="220"/>
      <c r="S593" s="220"/>
      <c r="T593" s="220"/>
      <c r="U593" s="230"/>
      <c r="V593" s="231"/>
      <c r="W593" s="232"/>
      <c r="X593" s="233"/>
      <c r="Y593" s="219"/>
      <c r="Z593" s="219"/>
    </row>
    <row r="594" spans="1:26" ht="15.75" thickBot="1">
      <c r="A594" s="225">
        <v>432</v>
      </c>
      <c r="B594" s="216"/>
      <c r="C594" s="216"/>
      <c r="D594" s="216"/>
      <c r="E594" s="216" t="s">
        <v>1457</v>
      </c>
      <c r="F594" s="226" t="s">
        <v>1458</v>
      </c>
      <c r="G594" s="227"/>
      <c r="H594" s="227"/>
      <c r="I594" s="216"/>
      <c r="J594" s="225">
        <v>271</v>
      </c>
      <c r="K594" s="228">
        <v>2.4537037037037036E-3</v>
      </c>
      <c r="L594" s="225" t="s">
        <v>1162</v>
      </c>
      <c r="M594" s="219"/>
      <c r="N594" s="219"/>
      <c r="O594" s="216"/>
      <c r="P594" s="216"/>
      <c r="Q594" s="216"/>
      <c r="R594" s="220"/>
      <c r="S594" s="220"/>
      <c r="T594" s="220"/>
      <c r="U594" s="230"/>
      <c r="V594" s="231"/>
      <c r="W594" s="232"/>
      <c r="X594" s="233"/>
      <c r="Y594" s="219"/>
      <c r="Z594" s="219"/>
    </row>
    <row r="595" spans="1:26" ht="15.75" thickBot="1">
      <c r="A595" s="225">
        <v>433</v>
      </c>
      <c r="B595" s="216"/>
      <c r="C595" s="216"/>
      <c r="D595" s="216"/>
      <c r="E595" s="216" t="s">
        <v>1459</v>
      </c>
      <c r="F595" s="226" t="s">
        <v>1460</v>
      </c>
      <c r="G595" s="227"/>
      <c r="H595" s="227"/>
      <c r="I595" s="216"/>
      <c r="J595" s="225">
        <v>296</v>
      </c>
      <c r="K595" s="228">
        <v>2.1643518518518518E-3</v>
      </c>
      <c r="L595" s="225" t="s">
        <v>1162</v>
      </c>
      <c r="M595" s="219"/>
      <c r="N595" s="219"/>
      <c r="O595" s="216"/>
      <c r="P595" s="216"/>
      <c r="Q595" s="216"/>
      <c r="R595" s="220"/>
      <c r="S595" s="220"/>
      <c r="T595" s="220"/>
      <c r="U595" s="230"/>
      <c r="V595" s="231"/>
      <c r="W595" s="232"/>
      <c r="X595" s="233"/>
      <c r="Y595" s="219"/>
      <c r="Z595" s="219"/>
    </row>
    <row r="596" spans="1:26" ht="15.75" thickBot="1">
      <c r="A596" s="225">
        <v>434</v>
      </c>
      <c r="B596" s="216"/>
      <c r="C596" s="216"/>
      <c r="D596" s="216"/>
      <c r="E596" s="216" t="s">
        <v>1461</v>
      </c>
      <c r="F596" s="226" t="s">
        <v>1462</v>
      </c>
      <c r="G596" s="227"/>
      <c r="H596" s="227"/>
      <c r="I596" s="216"/>
      <c r="J596" s="225">
        <v>696</v>
      </c>
      <c r="K596" s="228">
        <v>2.8472222222222219E-3</v>
      </c>
      <c r="L596" s="225" t="s">
        <v>1162</v>
      </c>
      <c r="M596" s="219"/>
      <c r="N596" s="219"/>
      <c r="O596" s="216"/>
      <c r="P596" s="216"/>
      <c r="Q596" s="216"/>
      <c r="R596" s="220"/>
      <c r="S596" s="220"/>
      <c r="T596" s="220"/>
      <c r="U596" s="230"/>
      <c r="V596" s="231"/>
      <c r="W596" s="232"/>
      <c r="X596" s="233"/>
      <c r="Y596" s="219"/>
      <c r="Z596" s="219"/>
    </row>
    <row r="597" spans="1:26" ht="15.75" thickBot="1">
      <c r="A597" s="225">
        <v>435</v>
      </c>
      <c r="B597" s="216"/>
      <c r="C597" s="216"/>
      <c r="D597" s="216"/>
      <c r="E597" s="216" t="s">
        <v>1463</v>
      </c>
      <c r="F597" s="226" t="s">
        <v>1464</v>
      </c>
      <c r="G597" s="227"/>
      <c r="H597" s="227"/>
      <c r="I597" s="216"/>
      <c r="J597" s="225">
        <v>2400</v>
      </c>
      <c r="K597" s="228">
        <v>1.3310185185185187E-2</v>
      </c>
      <c r="L597" s="225" t="s">
        <v>1162</v>
      </c>
      <c r="M597" s="219"/>
      <c r="N597" s="219"/>
      <c r="O597" s="216"/>
      <c r="P597" s="216"/>
      <c r="Q597" s="216"/>
      <c r="R597" s="220"/>
      <c r="S597" s="220"/>
      <c r="T597" s="220"/>
      <c r="U597" s="230"/>
      <c r="V597" s="231"/>
      <c r="W597" s="232"/>
      <c r="X597" s="233"/>
      <c r="Y597" s="219"/>
      <c r="Z597" s="219"/>
    </row>
    <row r="598" spans="1:26" ht="15.75" thickBot="1">
      <c r="A598" s="225">
        <v>436</v>
      </c>
      <c r="B598" s="216"/>
      <c r="C598" s="216"/>
      <c r="D598" s="216"/>
      <c r="E598" s="216" t="s">
        <v>1465</v>
      </c>
      <c r="F598" s="226" t="s">
        <v>1466</v>
      </c>
      <c r="G598" s="227"/>
      <c r="H598" s="227"/>
      <c r="I598" s="216"/>
      <c r="J598" s="225">
        <v>928</v>
      </c>
      <c r="K598" s="228">
        <v>1.5972222222222221E-3</v>
      </c>
      <c r="L598" s="225" t="s">
        <v>1162</v>
      </c>
      <c r="M598" s="219"/>
      <c r="N598" s="219"/>
      <c r="O598" s="216"/>
      <c r="P598" s="216"/>
      <c r="Q598" s="216"/>
      <c r="R598" s="220"/>
      <c r="S598" s="220"/>
      <c r="T598" s="220"/>
      <c r="U598" s="230"/>
      <c r="V598" s="231"/>
      <c r="W598" s="232"/>
      <c r="X598" s="233"/>
      <c r="Y598" s="219"/>
      <c r="Z598" s="219"/>
    </row>
    <row r="599" spans="1:26" ht="15.75" thickBot="1">
      <c r="A599" s="225">
        <v>437</v>
      </c>
      <c r="B599" s="216"/>
      <c r="C599" s="216"/>
      <c r="D599" s="216"/>
      <c r="E599" s="216" t="s">
        <v>1467</v>
      </c>
      <c r="F599" s="226" t="s">
        <v>1468</v>
      </c>
      <c r="G599" s="227"/>
      <c r="H599" s="227"/>
      <c r="I599" s="216"/>
      <c r="J599" s="225">
        <v>261</v>
      </c>
      <c r="K599" s="228">
        <v>4.5833333333333334E-3</v>
      </c>
      <c r="L599" s="225" t="s">
        <v>1162</v>
      </c>
      <c r="M599" s="219"/>
      <c r="N599" s="219"/>
      <c r="O599" s="216"/>
      <c r="P599" s="216"/>
      <c r="Q599" s="216"/>
      <c r="R599" s="220"/>
      <c r="S599" s="220"/>
      <c r="T599" s="220"/>
      <c r="U599" s="230"/>
      <c r="V599" s="231"/>
      <c r="W599" s="232"/>
      <c r="X599" s="233"/>
      <c r="Y599" s="219"/>
      <c r="Z599" s="219"/>
    </row>
    <row r="600" spans="1:26" ht="15.75" thickBot="1">
      <c r="A600" s="225">
        <v>438</v>
      </c>
      <c r="B600" s="216"/>
      <c r="C600" s="216"/>
      <c r="D600" s="216"/>
      <c r="E600" s="216" t="s">
        <v>1469</v>
      </c>
      <c r="F600" s="226" t="s">
        <v>1470</v>
      </c>
      <c r="G600" s="227"/>
      <c r="H600" s="227"/>
      <c r="I600" s="216"/>
      <c r="J600" s="225">
        <v>309</v>
      </c>
      <c r="K600" s="228">
        <v>2.0833333333333333E-3</v>
      </c>
      <c r="L600" s="225" t="s">
        <v>1162</v>
      </c>
      <c r="M600" s="219"/>
      <c r="N600" s="219"/>
      <c r="O600" s="216"/>
      <c r="P600" s="216"/>
      <c r="Q600" s="216"/>
      <c r="R600" s="220"/>
      <c r="S600" s="220"/>
      <c r="T600" s="220"/>
      <c r="U600" s="230"/>
      <c r="V600" s="231"/>
      <c r="W600" s="232"/>
      <c r="X600" s="233"/>
      <c r="Y600" s="219"/>
      <c r="Z600" s="219"/>
    </row>
    <row r="601" spans="1:26" ht="15.75" thickBot="1">
      <c r="A601" s="225">
        <v>439</v>
      </c>
      <c r="B601" s="216"/>
      <c r="C601" s="216"/>
      <c r="D601" s="216"/>
      <c r="E601" s="216" t="s">
        <v>1471</v>
      </c>
      <c r="F601" s="226" t="s">
        <v>1472</v>
      </c>
      <c r="G601" s="227"/>
      <c r="H601" s="227"/>
      <c r="I601" s="216"/>
      <c r="J601" s="225">
        <v>184</v>
      </c>
      <c r="K601" s="228">
        <v>1.9675925925925928E-3</v>
      </c>
      <c r="L601" s="225" t="s">
        <v>1162</v>
      </c>
      <c r="M601" s="219"/>
      <c r="N601" s="219"/>
      <c r="O601" s="216"/>
      <c r="P601" s="216"/>
      <c r="Q601" s="216"/>
      <c r="R601" s="220"/>
      <c r="S601" s="220"/>
      <c r="T601" s="220"/>
      <c r="U601" s="230"/>
      <c r="V601" s="231"/>
      <c r="W601" s="232"/>
      <c r="X601" s="233"/>
      <c r="Y601" s="219"/>
      <c r="Z601" s="219"/>
    </row>
    <row r="602" spans="1:26" ht="15.75" thickBot="1">
      <c r="A602" s="225">
        <v>440</v>
      </c>
      <c r="B602" s="216"/>
      <c r="C602" s="216"/>
      <c r="D602" s="216"/>
      <c r="E602" s="216" t="s">
        <v>1473</v>
      </c>
      <c r="F602" s="226" t="s">
        <v>1474</v>
      </c>
      <c r="G602" s="227"/>
      <c r="H602" s="227"/>
      <c r="I602" s="216"/>
      <c r="J602" s="225">
        <v>380</v>
      </c>
      <c r="K602" s="228">
        <v>3.6342592592592594E-3</v>
      </c>
      <c r="L602" s="225" t="s">
        <v>1162</v>
      </c>
      <c r="M602" s="219"/>
      <c r="N602" s="219"/>
      <c r="O602" s="216"/>
      <c r="P602" s="216"/>
      <c r="Q602" s="216"/>
      <c r="R602" s="220"/>
      <c r="S602" s="220"/>
      <c r="T602" s="220"/>
      <c r="U602" s="230"/>
      <c r="V602" s="231"/>
      <c r="W602" s="232"/>
      <c r="X602" s="233"/>
      <c r="Y602" s="219"/>
      <c r="Z602" s="219"/>
    </row>
    <row r="603" spans="1:26" ht="15.75" thickBot="1">
      <c r="A603" s="225">
        <v>441</v>
      </c>
      <c r="B603" s="216"/>
      <c r="C603" s="216"/>
      <c r="D603" s="216"/>
      <c r="E603" s="216" t="s">
        <v>1475</v>
      </c>
      <c r="F603" s="226" t="s">
        <v>1476</v>
      </c>
      <c r="G603" s="227"/>
      <c r="H603" s="227"/>
      <c r="I603" s="216"/>
      <c r="J603" s="225">
        <v>398</v>
      </c>
      <c r="K603" s="228">
        <v>1.2152777777777778E-3</v>
      </c>
      <c r="L603" s="225" t="s">
        <v>1162</v>
      </c>
      <c r="M603" s="219"/>
      <c r="N603" s="219"/>
      <c r="O603" s="216"/>
      <c r="P603" s="216"/>
      <c r="Q603" s="216"/>
      <c r="R603" s="220"/>
      <c r="S603" s="220"/>
      <c r="T603" s="220"/>
      <c r="U603" s="230"/>
      <c r="V603" s="231"/>
      <c r="W603" s="232"/>
      <c r="X603" s="233"/>
      <c r="Y603" s="219"/>
      <c r="Z603" s="219"/>
    </row>
    <row r="604" spans="1:26" ht="15.75" thickBot="1">
      <c r="A604" s="225">
        <v>442</v>
      </c>
      <c r="B604" s="216"/>
      <c r="C604" s="216"/>
      <c r="D604" s="216"/>
      <c r="E604" s="216" t="s">
        <v>1477</v>
      </c>
      <c r="F604" s="226" t="s">
        <v>1478</v>
      </c>
      <c r="G604" s="227"/>
      <c r="H604" s="227"/>
      <c r="I604" s="216"/>
      <c r="J604" s="225">
        <v>667</v>
      </c>
      <c r="K604" s="228">
        <v>4.3518518518518515E-3</v>
      </c>
      <c r="L604" s="225" t="s">
        <v>1162</v>
      </c>
      <c r="M604" s="219"/>
      <c r="N604" s="219"/>
      <c r="O604" s="216"/>
      <c r="P604" s="216"/>
      <c r="Q604" s="216"/>
      <c r="R604" s="220"/>
      <c r="S604" s="220"/>
      <c r="T604" s="220"/>
      <c r="U604" s="230"/>
      <c r="V604" s="231"/>
      <c r="W604" s="232"/>
      <c r="X604" s="233"/>
      <c r="Y604" s="219"/>
      <c r="Z604" s="219"/>
    </row>
    <row r="605" spans="1:26" ht="15.75" thickBot="1">
      <c r="A605" s="225">
        <v>443</v>
      </c>
      <c r="B605" s="216"/>
      <c r="C605" s="216"/>
      <c r="D605" s="216"/>
      <c r="E605" s="216" t="s">
        <v>1479</v>
      </c>
      <c r="F605" s="226" t="s">
        <v>1480</v>
      </c>
      <c r="G605" s="227"/>
      <c r="H605" s="227"/>
      <c r="I605" s="216"/>
      <c r="J605" s="225">
        <v>1600</v>
      </c>
      <c r="K605" s="228">
        <v>5.2777777777777771E-3</v>
      </c>
      <c r="L605" s="225" t="s">
        <v>1162</v>
      </c>
      <c r="M605" s="219"/>
      <c r="N605" s="219"/>
      <c r="O605" s="216"/>
      <c r="P605" s="216"/>
      <c r="Q605" s="216"/>
      <c r="R605" s="220"/>
      <c r="S605" s="220"/>
      <c r="T605" s="220"/>
      <c r="U605" s="230"/>
      <c r="V605" s="231"/>
      <c r="W605" s="232"/>
      <c r="X605" s="233"/>
      <c r="Y605" s="219"/>
      <c r="Z605" s="219"/>
    </row>
    <row r="606" spans="1:26" ht="15.75" thickBot="1">
      <c r="A606" s="225">
        <v>444</v>
      </c>
      <c r="B606" s="216"/>
      <c r="C606" s="216"/>
      <c r="D606" s="216"/>
      <c r="E606" s="216" t="s">
        <v>1481</v>
      </c>
      <c r="F606" s="226" t="s">
        <v>1482</v>
      </c>
      <c r="G606" s="227"/>
      <c r="H606" s="227"/>
      <c r="I606" s="216"/>
      <c r="J606" s="225">
        <v>797</v>
      </c>
      <c r="K606" s="228">
        <v>1.4699074074074074E-3</v>
      </c>
      <c r="L606" s="225" t="s">
        <v>1162</v>
      </c>
      <c r="M606" s="219"/>
      <c r="N606" s="219"/>
      <c r="O606" s="216"/>
      <c r="P606" s="216"/>
      <c r="Q606" s="216"/>
      <c r="R606" s="220"/>
      <c r="S606" s="220"/>
      <c r="T606" s="220"/>
      <c r="U606" s="230"/>
      <c r="V606" s="231"/>
      <c r="W606" s="232"/>
      <c r="X606" s="233"/>
      <c r="Y606" s="219"/>
      <c r="Z606" s="219"/>
    </row>
    <row r="607" spans="1:26" ht="15.75" thickBot="1">
      <c r="A607" s="225">
        <v>445</v>
      </c>
      <c r="B607" s="216"/>
      <c r="C607" s="216"/>
      <c r="D607" s="216"/>
      <c r="E607" s="216" t="s">
        <v>1483</v>
      </c>
      <c r="F607" s="226" t="s">
        <v>1484</v>
      </c>
      <c r="G607" s="227"/>
      <c r="H607" s="227"/>
      <c r="I607" s="216"/>
      <c r="J607" s="225">
        <v>327</v>
      </c>
      <c r="K607" s="228">
        <v>3.2060185185185191E-3</v>
      </c>
      <c r="L607" s="225" t="s">
        <v>1162</v>
      </c>
      <c r="M607" s="219"/>
      <c r="N607" s="219"/>
      <c r="O607" s="216"/>
      <c r="P607" s="216"/>
      <c r="Q607" s="216"/>
      <c r="R607" s="220"/>
      <c r="S607" s="220"/>
      <c r="T607" s="220"/>
      <c r="U607" s="230"/>
      <c r="V607" s="231"/>
      <c r="W607" s="232"/>
      <c r="X607" s="233"/>
      <c r="Y607" s="219"/>
      <c r="Z607" s="219"/>
    </row>
    <row r="608" spans="1:26" ht="15.75" thickBot="1">
      <c r="A608" s="225">
        <v>446</v>
      </c>
      <c r="B608" s="216"/>
      <c r="C608" s="216"/>
      <c r="D608" s="216"/>
      <c r="E608" s="216" t="s">
        <v>1485</v>
      </c>
      <c r="F608" s="226" t="s">
        <v>1486</v>
      </c>
      <c r="G608" s="227"/>
      <c r="H608" s="227"/>
      <c r="I608" s="216"/>
      <c r="J608" s="225">
        <v>173</v>
      </c>
      <c r="K608" s="228">
        <v>8.9120370370370362E-4</v>
      </c>
      <c r="L608" s="225" t="s">
        <v>1162</v>
      </c>
      <c r="M608" s="219"/>
      <c r="N608" s="219"/>
      <c r="O608" s="216"/>
      <c r="P608" s="216"/>
      <c r="Q608" s="216"/>
      <c r="R608" s="220"/>
      <c r="S608" s="220"/>
      <c r="T608" s="220"/>
      <c r="U608" s="230"/>
      <c r="V608" s="231"/>
      <c r="W608" s="232"/>
      <c r="X608" s="233"/>
      <c r="Y608" s="219"/>
      <c r="Z608" s="219"/>
    </row>
    <row r="609" spans="1:26" ht="15.75" thickBot="1">
      <c r="A609" s="225">
        <v>447</v>
      </c>
      <c r="B609" s="216"/>
      <c r="C609" s="216"/>
      <c r="D609" s="216"/>
      <c r="E609" s="216" t="s">
        <v>1487</v>
      </c>
      <c r="F609" s="226" t="s">
        <v>1488</v>
      </c>
      <c r="G609" s="227"/>
      <c r="H609" s="227"/>
      <c r="I609" s="216"/>
      <c r="J609" s="225">
        <v>297</v>
      </c>
      <c r="K609" s="228">
        <v>4.2129629629629626E-3</v>
      </c>
      <c r="L609" s="225" t="s">
        <v>1162</v>
      </c>
      <c r="M609" s="219"/>
      <c r="N609" s="219"/>
      <c r="O609" s="216"/>
      <c r="P609" s="216"/>
      <c r="Q609" s="216"/>
      <c r="R609" s="220"/>
      <c r="S609" s="220"/>
      <c r="T609" s="220"/>
      <c r="U609" s="230"/>
      <c r="V609" s="231"/>
      <c r="W609" s="232"/>
      <c r="X609" s="233"/>
      <c r="Y609" s="219"/>
      <c r="Z609" s="219"/>
    </row>
    <row r="610" spans="1:26" ht="15.75" thickBot="1">
      <c r="A610" s="225">
        <v>448</v>
      </c>
      <c r="B610" s="216"/>
      <c r="C610" s="216"/>
      <c r="D610" s="216"/>
      <c r="E610" s="216" t="s">
        <v>1489</v>
      </c>
      <c r="F610" s="226" t="s">
        <v>1490</v>
      </c>
      <c r="G610" s="227"/>
      <c r="H610" s="227"/>
      <c r="I610" s="216"/>
      <c r="J610" s="225">
        <v>182</v>
      </c>
      <c r="K610" s="228">
        <v>2.7314814814814819E-3</v>
      </c>
      <c r="L610" s="225" t="s">
        <v>1162</v>
      </c>
      <c r="M610" s="219"/>
      <c r="N610" s="219"/>
      <c r="O610" s="216"/>
      <c r="P610" s="216"/>
      <c r="Q610" s="216"/>
      <c r="R610" s="220"/>
      <c r="S610" s="220"/>
      <c r="T610" s="220"/>
      <c r="U610" s="230"/>
      <c r="V610" s="231"/>
      <c r="W610" s="232"/>
      <c r="X610" s="233"/>
      <c r="Y610" s="219"/>
      <c r="Z610" s="219"/>
    </row>
    <row r="611" spans="1:26" ht="15.75" thickBot="1">
      <c r="A611" s="225">
        <v>449</v>
      </c>
      <c r="B611" s="216"/>
      <c r="C611" s="216"/>
      <c r="D611" s="216"/>
      <c r="E611" s="216" t="s">
        <v>1492</v>
      </c>
      <c r="F611" s="226" t="s">
        <v>1494</v>
      </c>
      <c r="G611" s="227"/>
      <c r="H611" s="227"/>
      <c r="I611" s="216"/>
      <c r="J611" s="225">
        <v>1800</v>
      </c>
      <c r="K611" s="228">
        <v>1.0081018518518519E-2</v>
      </c>
      <c r="L611" s="225" t="s">
        <v>1162</v>
      </c>
      <c r="M611" s="219"/>
      <c r="N611" s="219"/>
      <c r="O611" s="216"/>
      <c r="P611" s="216"/>
      <c r="Q611" s="216"/>
      <c r="R611" s="220"/>
      <c r="S611" s="220"/>
      <c r="T611" s="220"/>
      <c r="U611" s="230"/>
      <c r="V611" s="231"/>
      <c r="W611" s="232"/>
      <c r="X611" s="233"/>
      <c r="Y611" s="219"/>
      <c r="Z611" s="219"/>
    </row>
    <row r="612" spans="1:26" ht="15.75" thickBot="1">
      <c r="A612" s="225">
        <v>450</v>
      </c>
      <c r="B612" s="216"/>
      <c r="C612" s="216"/>
      <c r="D612" s="216"/>
      <c r="E612" s="216" t="s">
        <v>1496</v>
      </c>
      <c r="F612" s="226" t="s">
        <v>1497</v>
      </c>
      <c r="G612" s="227"/>
      <c r="H612" s="227"/>
      <c r="I612" s="216"/>
      <c r="J612" s="225">
        <v>3600</v>
      </c>
      <c r="K612" s="228">
        <v>2.7025462962962959E-2</v>
      </c>
      <c r="L612" s="225" t="s">
        <v>1162</v>
      </c>
      <c r="M612" s="219"/>
      <c r="N612" s="219"/>
      <c r="O612" s="216"/>
      <c r="P612" s="216"/>
      <c r="Q612" s="216"/>
      <c r="R612" s="220"/>
      <c r="S612" s="220"/>
      <c r="T612" s="220"/>
      <c r="U612" s="230"/>
      <c r="V612" s="231"/>
      <c r="W612" s="232"/>
      <c r="X612" s="233"/>
      <c r="Y612" s="219"/>
      <c r="Z612" s="219"/>
    </row>
    <row r="613" spans="1:26" ht="15.75" thickBot="1">
      <c r="A613" s="225">
        <v>451</v>
      </c>
      <c r="B613" s="216"/>
      <c r="C613" s="216"/>
      <c r="D613" s="216"/>
      <c r="E613" s="216" t="s">
        <v>1498</v>
      </c>
      <c r="F613" s="226" t="s">
        <v>1499</v>
      </c>
      <c r="G613" s="227"/>
      <c r="H613" s="227"/>
      <c r="I613" s="216"/>
      <c r="J613" s="225">
        <v>198</v>
      </c>
      <c r="K613" s="228">
        <v>2.3611111111111111E-3</v>
      </c>
      <c r="L613" s="225" t="s">
        <v>1162</v>
      </c>
      <c r="M613" s="219"/>
      <c r="N613" s="219"/>
      <c r="O613" s="216"/>
      <c r="P613" s="216"/>
      <c r="Q613" s="216"/>
      <c r="R613" s="220"/>
      <c r="S613" s="220"/>
      <c r="T613" s="220"/>
      <c r="U613" s="230"/>
      <c r="V613" s="231"/>
      <c r="W613" s="232"/>
      <c r="X613" s="233"/>
      <c r="Y613" s="219"/>
      <c r="Z613" s="219"/>
    </row>
    <row r="614" spans="1:26" ht="15.75" thickBot="1">
      <c r="A614" s="225">
        <v>452</v>
      </c>
      <c r="B614" s="216"/>
      <c r="C614" s="216"/>
      <c r="D614" s="216"/>
      <c r="E614" s="216" t="s">
        <v>1502</v>
      </c>
      <c r="F614" s="226" t="s">
        <v>1504</v>
      </c>
      <c r="G614" s="227"/>
      <c r="H614" s="227"/>
      <c r="I614" s="216"/>
      <c r="J614" s="225">
        <v>193</v>
      </c>
      <c r="K614" s="228">
        <v>1.7013888888888892E-3</v>
      </c>
      <c r="L614" s="225" t="s">
        <v>1162</v>
      </c>
      <c r="M614" s="219"/>
      <c r="N614" s="219"/>
      <c r="O614" s="216"/>
      <c r="P614" s="216"/>
      <c r="Q614" s="216"/>
      <c r="R614" s="220"/>
      <c r="S614" s="220"/>
      <c r="T614" s="220"/>
      <c r="U614" s="230"/>
      <c r="V614" s="231"/>
      <c r="W614" s="232"/>
      <c r="X614" s="233"/>
      <c r="Y614" s="219"/>
      <c r="Z614" s="219"/>
    </row>
    <row r="615" spans="1:26" ht="15.75" thickBot="1">
      <c r="A615" s="225">
        <v>453</v>
      </c>
      <c r="B615" s="216"/>
      <c r="C615" s="216"/>
      <c r="D615" s="216"/>
      <c r="E615" s="216" t="s">
        <v>1505</v>
      </c>
      <c r="F615" s="226" t="s">
        <v>1506</v>
      </c>
      <c r="G615" s="227"/>
      <c r="H615" s="227"/>
      <c r="I615" s="216"/>
      <c r="J615" s="225">
        <v>1000</v>
      </c>
      <c r="K615" s="228">
        <v>7.4189814814814813E-3</v>
      </c>
      <c r="L615" s="225" t="s">
        <v>1162</v>
      </c>
      <c r="M615" s="219"/>
      <c r="N615" s="219"/>
      <c r="O615" s="216"/>
      <c r="P615" s="216"/>
      <c r="Q615" s="216"/>
      <c r="R615" s="220"/>
      <c r="S615" s="220"/>
      <c r="T615" s="220"/>
      <c r="U615" s="230"/>
      <c r="V615" s="231"/>
      <c r="W615" s="232"/>
      <c r="X615" s="233"/>
      <c r="Y615" s="219"/>
      <c r="Z615" s="219"/>
    </row>
    <row r="616" spans="1:26" ht="15.75" thickBot="1">
      <c r="A616" s="225">
        <v>454</v>
      </c>
      <c r="B616" s="216"/>
      <c r="C616" s="216"/>
      <c r="D616" s="216"/>
      <c r="E616" s="216" t="s">
        <v>1509</v>
      </c>
      <c r="F616" s="226" t="s">
        <v>1510</v>
      </c>
      <c r="G616" s="227"/>
      <c r="H616" s="227"/>
      <c r="I616" s="216"/>
      <c r="J616" s="225">
        <v>530</v>
      </c>
      <c r="K616" s="228">
        <v>1.6666666666666668E-3</v>
      </c>
      <c r="L616" s="225" t="s">
        <v>1162</v>
      </c>
      <c r="M616" s="219"/>
      <c r="N616" s="219"/>
      <c r="O616" s="216"/>
      <c r="P616" s="216"/>
      <c r="Q616" s="216"/>
      <c r="R616" s="220"/>
      <c r="S616" s="220"/>
      <c r="T616" s="220"/>
      <c r="U616" s="230"/>
      <c r="V616" s="231"/>
      <c r="W616" s="232"/>
      <c r="X616" s="233"/>
      <c r="Y616" s="219"/>
      <c r="Z616" s="219"/>
    </row>
    <row r="617" spans="1:26" ht="15.75" thickBot="1">
      <c r="A617" s="225">
        <v>455</v>
      </c>
      <c r="B617" s="216"/>
      <c r="C617" s="216"/>
      <c r="D617" s="216"/>
      <c r="E617" s="216" t="s">
        <v>1516</v>
      </c>
      <c r="F617" s="226" t="s">
        <v>1518</v>
      </c>
      <c r="G617" s="227"/>
      <c r="H617" s="227"/>
      <c r="I617" s="216"/>
      <c r="J617" s="225">
        <v>509</v>
      </c>
      <c r="K617" s="228">
        <v>1.3773148148148147E-3</v>
      </c>
      <c r="L617" s="225" t="s">
        <v>1162</v>
      </c>
      <c r="M617" s="219"/>
      <c r="N617" s="219"/>
      <c r="O617" s="216"/>
      <c r="P617" s="216"/>
      <c r="Q617" s="216"/>
      <c r="R617" s="220"/>
      <c r="S617" s="220"/>
      <c r="T617" s="220"/>
      <c r="U617" s="230"/>
      <c r="V617" s="231"/>
      <c r="W617" s="232"/>
      <c r="X617" s="233"/>
      <c r="Y617" s="219"/>
      <c r="Z617" s="219"/>
    </row>
    <row r="618" spans="1:26" ht="15.75" thickBot="1">
      <c r="A618" s="225">
        <v>456</v>
      </c>
      <c r="B618" s="216"/>
      <c r="C618" s="216"/>
      <c r="D618" s="216"/>
      <c r="E618" s="216" t="s">
        <v>1522</v>
      </c>
      <c r="F618" s="226" t="s">
        <v>1523</v>
      </c>
      <c r="G618" s="227"/>
      <c r="H618" s="227"/>
      <c r="I618" s="216"/>
      <c r="J618" s="225">
        <v>352</v>
      </c>
      <c r="K618" s="228">
        <v>2.0254629629629629E-3</v>
      </c>
      <c r="L618" s="225" t="s">
        <v>1162</v>
      </c>
      <c r="M618" s="219"/>
      <c r="N618" s="219"/>
      <c r="O618" s="216"/>
      <c r="P618" s="216"/>
      <c r="Q618" s="216"/>
      <c r="R618" s="220"/>
      <c r="S618" s="220"/>
      <c r="T618" s="220"/>
      <c r="U618" s="230"/>
      <c r="V618" s="231"/>
      <c r="W618" s="232"/>
      <c r="X618" s="233"/>
      <c r="Y618" s="219"/>
      <c r="Z618" s="219"/>
    </row>
    <row r="619" spans="1:26" ht="15.75" thickBot="1">
      <c r="A619" s="225">
        <v>457</v>
      </c>
      <c r="B619" s="216"/>
      <c r="C619" s="216"/>
      <c r="D619" s="216"/>
      <c r="E619" s="216" t="s">
        <v>1529</v>
      </c>
      <c r="F619" s="226" t="s">
        <v>1530</v>
      </c>
      <c r="G619" s="227"/>
      <c r="H619" s="227"/>
      <c r="I619" s="216"/>
      <c r="J619" s="225">
        <v>223</v>
      </c>
      <c r="K619" s="228">
        <v>3.8888888888888883E-3</v>
      </c>
      <c r="L619" s="225" t="s">
        <v>1162</v>
      </c>
      <c r="M619" s="219"/>
      <c r="N619" s="219"/>
      <c r="O619" s="216"/>
      <c r="P619" s="216"/>
      <c r="Q619" s="216"/>
      <c r="R619" s="220"/>
      <c r="S619" s="220"/>
      <c r="T619" s="220"/>
      <c r="U619" s="230"/>
      <c r="V619" s="231"/>
      <c r="W619" s="232"/>
      <c r="X619" s="233"/>
      <c r="Y619" s="219"/>
      <c r="Z619" s="219"/>
    </row>
    <row r="620" spans="1:26" ht="15.75" thickBot="1">
      <c r="A620" s="225">
        <v>458</v>
      </c>
      <c r="B620" s="216"/>
      <c r="C620" s="216"/>
      <c r="D620" s="216"/>
      <c r="E620" s="216" t="s">
        <v>1533</v>
      </c>
      <c r="F620" s="226" t="s">
        <v>1534</v>
      </c>
      <c r="G620" s="227"/>
      <c r="H620" s="227"/>
      <c r="I620" s="216"/>
      <c r="J620" s="225">
        <v>2500</v>
      </c>
      <c r="K620" s="228">
        <v>3.4340277777777782E-2</v>
      </c>
      <c r="L620" s="225" t="s">
        <v>1162</v>
      </c>
      <c r="M620" s="219"/>
      <c r="N620" s="219"/>
      <c r="O620" s="216"/>
      <c r="P620" s="216"/>
      <c r="Q620" s="216"/>
      <c r="R620" s="220"/>
      <c r="S620" s="220"/>
      <c r="T620" s="220"/>
      <c r="U620" s="230"/>
      <c r="V620" s="231"/>
      <c r="W620" s="232"/>
      <c r="X620" s="233"/>
      <c r="Y620" s="219"/>
      <c r="Z620" s="219"/>
    </row>
    <row r="621" spans="1:26" ht="15.75" thickBot="1">
      <c r="A621" s="225">
        <v>459</v>
      </c>
      <c r="B621" s="216"/>
      <c r="C621" s="216"/>
      <c r="D621" s="216"/>
      <c r="E621" s="216" t="s">
        <v>1540</v>
      </c>
      <c r="F621" s="226" t="s">
        <v>1541</v>
      </c>
      <c r="G621" s="227"/>
      <c r="H621" s="227"/>
      <c r="I621" s="216"/>
      <c r="J621" s="225">
        <v>4400</v>
      </c>
      <c r="K621" s="228">
        <v>2.7303240740740743E-2</v>
      </c>
      <c r="L621" s="225" t="s">
        <v>1162</v>
      </c>
      <c r="M621" s="219"/>
      <c r="N621" s="219"/>
      <c r="O621" s="216"/>
      <c r="P621" s="216"/>
      <c r="Q621" s="216"/>
      <c r="R621" s="220"/>
      <c r="S621" s="220"/>
      <c r="T621" s="220"/>
      <c r="U621" s="230"/>
      <c r="V621" s="231"/>
      <c r="W621" s="232"/>
      <c r="X621" s="233"/>
      <c r="Y621" s="219"/>
      <c r="Z621" s="219"/>
    </row>
    <row r="622" spans="1:26" ht="15.75" thickBot="1">
      <c r="A622" s="225">
        <v>460</v>
      </c>
      <c r="B622" s="216"/>
      <c r="C622" s="216"/>
      <c r="D622" s="216"/>
      <c r="E622" s="216" t="s">
        <v>1543</v>
      </c>
      <c r="F622" s="226" t="s">
        <v>1544</v>
      </c>
      <c r="G622" s="227"/>
      <c r="H622" s="227"/>
      <c r="I622" s="216"/>
      <c r="J622" s="225">
        <v>2700</v>
      </c>
      <c r="K622" s="228">
        <v>1.9560185185185184E-3</v>
      </c>
      <c r="L622" s="225" t="s">
        <v>1162</v>
      </c>
      <c r="M622" s="219"/>
      <c r="N622" s="219"/>
      <c r="O622" s="216"/>
      <c r="P622" s="216"/>
      <c r="Q622" s="216"/>
      <c r="R622" s="220"/>
      <c r="S622" s="220"/>
      <c r="T622" s="220"/>
      <c r="U622" s="230"/>
      <c r="V622" s="231"/>
      <c r="W622" s="232"/>
      <c r="X622" s="233"/>
      <c r="Y622" s="219"/>
      <c r="Z622" s="219"/>
    </row>
    <row r="623" spans="1:26" ht="15.75" thickBot="1">
      <c r="A623" s="225">
        <v>461</v>
      </c>
      <c r="B623" s="216"/>
      <c r="C623" s="216"/>
      <c r="D623" s="216"/>
      <c r="E623" s="216" t="s">
        <v>1547</v>
      </c>
      <c r="F623" s="226" t="s">
        <v>1548</v>
      </c>
      <c r="G623" s="227"/>
      <c r="H623" s="227"/>
      <c r="I623" s="216"/>
      <c r="J623" s="225">
        <v>2200</v>
      </c>
      <c r="K623" s="228">
        <v>1.1331018518518518E-2</v>
      </c>
      <c r="L623" s="225" t="s">
        <v>1162</v>
      </c>
      <c r="M623" s="219"/>
      <c r="N623" s="219"/>
      <c r="O623" s="216"/>
      <c r="P623" s="216"/>
      <c r="Q623" s="216"/>
      <c r="R623" s="220"/>
      <c r="S623" s="220"/>
      <c r="T623" s="220"/>
      <c r="U623" s="230"/>
      <c r="V623" s="231"/>
      <c r="W623" s="232"/>
      <c r="X623" s="233"/>
      <c r="Y623" s="219"/>
      <c r="Z623" s="219"/>
    </row>
    <row r="624" spans="1:26" ht="15.75" thickBot="1">
      <c r="A624" s="225">
        <v>462</v>
      </c>
      <c r="B624" s="216"/>
      <c r="C624" s="216"/>
      <c r="D624" s="216"/>
      <c r="E624" s="216" t="s">
        <v>1549</v>
      </c>
      <c r="F624" s="226" t="s">
        <v>1550</v>
      </c>
      <c r="G624" s="227"/>
      <c r="H624" s="227"/>
      <c r="I624" s="216"/>
      <c r="J624" s="225">
        <v>1000</v>
      </c>
      <c r="K624" s="228">
        <v>7.6504629629629631E-3</v>
      </c>
      <c r="L624" s="225" t="s">
        <v>1162</v>
      </c>
      <c r="M624" s="219"/>
      <c r="N624" s="219"/>
      <c r="O624" s="216"/>
      <c r="P624" s="216"/>
      <c r="Q624" s="216"/>
      <c r="R624" s="220"/>
      <c r="S624" s="220"/>
      <c r="T624" s="220"/>
      <c r="U624" s="230"/>
      <c r="V624" s="231"/>
      <c r="W624" s="232"/>
      <c r="X624" s="233"/>
      <c r="Y624" s="219"/>
      <c r="Z624" s="219"/>
    </row>
    <row r="625" spans="1:26" ht="15.75" thickBot="1">
      <c r="A625" s="225">
        <v>463</v>
      </c>
      <c r="B625" s="216"/>
      <c r="C625" s="216"/>
      <c r="D625" s="216"/>
      <c r="E625" s="216" t="s">
        <v>1551</v>
      </c>
      <c r="F625" s="226" t="s">
        <v>1552</v>
      </c>
      <c r="G625" s="227"/>
      <c r="H625" s="227"/>
      <c r="I625" s="216"/>
      <c r="J625" s="225">
        <v>704</v>
      </c>
      <c r="K625" s="228">
        <v>4.7337962962962958E-3</v>
      </c>
      <c r="L625" s="225" t="s">
        <v>1162</v>
      </c>
      <c r="M625" s="219"/>
      <c r="N625" s="219"/>
      <c r="O625" s="216"/>
      <c r="P625" s="216"/>
      <c r="Q625" s="216"/>
      <c r="R625" s="220"/>
      <c r="S625" s="220"/>
      <c r="T625" s="220"/>
      <c r="U625" s="230"/>
      <c r="V625" s="231"/>
      <c r="W625" s="232"/>
      <c r="X625" s="233"/>
      <c r="Y625" s="219"/>
      <c r="Z625" s="219"/>
    </row>
    <row r="626" spans="1:26" ht="15.75" thickBot="1">
      <c r="A626" s="225">
        <v>464</v>
      </c>
      <c r="B626" s="216"/>
      <c r="C626" s="216"/>
      <c r="D626" s="216"/>
      <c r="E626" s="216" t="s">
        <v>1555</v>
      </c>
      <c r="F626" s="226" t="s">
        <v>1556</v>
      </c>
      <c r="G626" s="227"/>
      <c r="H626" s="227"/>
      <c r="I626" s="216"/>
      <c r="J626" s="225">
        <v>396</v>
      </c>
      <c r="K626" s="228">
        <v>2.6041666666666665E-3</v>
      </c>
      <c r="L626" s="225" t="s">
        <v>1162</v>
      </c>
      <c r="M626" s="219"/>
      <c r="N626" s="219"/>
      <c r="O626" s="216"/>
      <c r="P626" s="216"/>
      <c r="Q626" s="216"/>
      <c r="R626" s="220"/>
      <c r="S626" s="220"/>
      <c r="T626" s="220"/>
      <c r="U626" s="230"/>
      <c r="V626" s="231"/>
      <c r="W626" s="232"/>
      <c r="X626" s="233"/>
      <c r="Y626" s="219"/>
      <c r="Z626" s="219"/>
    </row>
    <row r="627" spans="1:26" ht="15.75" thickBot="1">
      <c r="A627" s="225">
        <v>465</v>
      </c>
      <c r="B627" s="216"/>
      <c r="C627" s="216"/>
      <c r="D627" s="216"/>
      <c r="E627" s="216" t="s">
        <v>1557</v>
      </c>
      <c r="F627" s="226" t="s">
        <v>1559</v>
      </c>
      <c r="G627" s="227"/>
      <c r="H627" s="227"/>
      <c r="I627" s="216"/>
      <c r="J627" s="225">
        <v>260</v>
      </c>
      <c r="K627" s="228">
        <v>1.5393518518518519E-3</v>
      </c>
      <c r="L627" s="225" t="s">
        <v>1162</v>
      </c>
      <c r="M627" s="219"/>
      <c r="N627" s="219"/>
      <c r="O627" s="216"/>
      <c r="P627" s="216"/>
      <c r="Q627" s="216"/>
      <c r="R627" s="220"/>
      <c r="S627" s="220"/>
      <c r="T627" s="220"/>
      <c r="U627" s="230"/>
      <c r="V627" s="231"/>
      <c r="W627" s="232"/>
      <c r="X627" s="233"/>
      <c r="Y627" s="219"/>
      <c r="Z627" s="219"/>
    </row>
    <row r="628" spans="1:26" ht="15.75" thickBot="1">
      <c r="A628" s="225">
        <v>466</v>
      </c>
      <c r="B628" s="216"/>
      <c r="C628" s="216"/>
      <c r="D628" s="216"/>
      <c r="E628" s="216" t="s">
        <v>1562</v>
      </c>
      <c r="F628" s="226" t="s">
        <v>1563</v>
      </c>
      <c r="G628" s="227"/>
      <c r="H628" s="227"/>
      <c r="I628" s="216"/>
      <c r="J628" s="225">
        <v>366</v>
      </c>
      <c r="K628" s="228">
        <v>1.1342592592592591E-3</v>
      </c>
      <c r="L628" s="225" t="s">
        <v>1162</v>
      </c>
      <c r="M628" s="219"/>
      <c r="N628" s="219"/>
      <c r="O628" s="216"/>
      <c r="P628" s="216"/>
      <c r="Q628" s="216"/>
      <c r="R628" s="220"/>
      <c r="S628" s="220"/>
      <c r="T628" s="220"/>
      <c r="U628" s="230"/>
      <c r="V628" s="231"/>
      <c r="W628" s="232"/>
      <c r="X628" s="233"/>
      <c r="Y628" s="219"/>
      <c r="Z628" s="219"/>
    </row>
    <row r="629" spans="1:26" ht="15.75" thickBot="1">
      <c r="A629" s="225">
        <v>467</v>
      </c>
      <c r="B629" s="216"/>
      <c r="C629" s="216"/>
      <c r="D629" s="216"/>
      <c r="E629" s="216" t="s">
        <v>1564</v>
      </c>
      <c r="F629" s="226" t="s">
        <v>1565</v>
      </c>
      <c r="G629" s="227"/>
      <c r="H629" s="227"/>
      <c r="I629" s="216"/>
      <c r="J629" s="225">
        <v>461</v>
      </c>
      <c r="K629" s="228">
        <v>1.8287037037037037E-3</v>
      </c>
      <c r="L629" s="225" t="s">
        <v>1162</v>
      </c>
      <c r="M629" s="219"/>
      <c r="N629" s="219"/>
      <c r="O629" s="216"/>
      <c r="P629" s="216"/>
      <c r="Q629" s="216"/>
      <c r="R629" s="220"/>
      <c r="S629" s="220"/>
      <c r="T629" s="220"/>
      <c r="U629" s="230"/>
      <c r="V629" s="231"/>
      <c r="W629" s="232"/>
      <c r="X629" s="233"/>
      <c r="Y629" s="219"/>
      <c r="Z629" s="219"/>
    </row>
    <row r="630" spans="1:26" ht="15.75" thickBot="1">
      <c r="A630" s="225">
        <v>468</v>
      </c>
      <c r="B630" s="216"/>
      <c r="C630" s="216"/>
      <c r="D630" s="216"/>
      <c r="E630" s="216" t="s">
        <v>1566</v>
      </c>
      <c r="F630" s="226" t="s">
        <v>1567</v>
      </c>
      <c r="G630" s="227"/>
      <c r="H630" s="227"/>
      <c r="I630" s="216"/>
      <c r="J630" s="225">
        <v>849</v>
      </c>
      <c r="K630" s="228">
        <v>9.4907407407407408E-4</v>
      </c>
      <c r="L630" s="225" t="s">
        <v>1162</v>
      </c>
      <c r="M630" s="219"/>
      <c r="N630" s="219"/>
      <c r="O630" s="216"/>
      <c r="P630" s="216"/>
      <c r="Q630" s="216"/>
      <c r="R630" s="220"/>
      <c r="S630" s="220"/>
      <c r="T630" s="220"/>
      <c r="U630" s="230"/>
      <c r="V630" s="231"/>
      <c r="W630" s="232"/>
      <c r="X630" s="233"/>
      <c r="Y630" s="219"/>
      <c r="Z630" s="219"/>
    </row>
    <row r="631" spans="1:26" ht="15.75" thickBot="1">
      <c r="A631" s="225">
        <v>469</v>
      </c>
      <c r="B631" s="216"/>
      <c r="C631" s="216"/>
      <c r="D631" s="216"/>
      <c r="E631" s="216" t="s">
        <v>1568</v>
      </c>
      <c r="F631" s="226" t="s">
        <v>1569</v>
      </c>
      <c r="G631" s="227"/>
      <c r="H631" s="227"/>
      <c r="I631" s="216"/>
      <c r="J631" s="225">
        <v>248</v>
      </c>
      <c r="K631" s="228">
        <v>1.5046296296296294E-3</v>
      </c>
      <c r="L631" s="225" t="s">
        <v>1162</v>
      </c>
      <c r="M631" s="219"/>
      <c r="N631" s="219"/>
      <c r="O631" s="216"/>
      <c r="P631" s="216"/>
      <c r="Q631" s="216"/>
      <c r="R631" s="220"/>
      <c r="S631" s="220"/>
      <c r="T631" s="220"/>
      <c r="U631" s="230"/>
      <c r="V631" s="231"/>
      <c r="W631" s="232"/>
      <c r="X631" s="233"/>
      <c r="Y631" s="219"/>
      <c r="Z631" s="219"/>
    </row>
    <row r="632" spans="1:26" ht="15.75" thickBot="1">
      <c r="A632" s="225">
        <v>470</v>
      </c>
      <c r="B632" s="216"/>
      <c r="C632" s="216"/>
      <c r="D632" s="216"/>
      <c r="E632" s="216" t="s">
        <v>1570</v>
      </c>
      <c r="F632" s="226" t="s">
        <v>1571</v>
      </c>
      <c r="G632" s="227"/>
      <c r="H632" s="227"/>
      <c r="I632" s="216"/>
      <c r="J632" s="225">
        <v>671</v>
      </c>
      <c r="K632" s="228">
        <v>1.3078703703703705E-3</v>
      </c>
      <c r="L632" s="225" t="s">
        <v>1162</v>
      </c>
      <c r="M632" s="219"/>
      <c r="N632" s="219"/>
      <c r="O632" s="216"/>
      <c r="P632" s="216"/>
      <c r="Q632" s="216"/>
      <c r="R632" s="220"/>
      <c r="S632" s="220"/>
      <c r="T632" s="220"/>
      <c r="U632" s="230"/>
      <c r="V632" s="231"/>
      <c r="W632" s="232"/>
      <c r="X632" s="233"/>
      <c r="Y632" s="219"/>
      <c r="Z632" s="219"/>
    </row>
    <row r="633" spans="1:26" ht="15.75" thickBot="1">
      <c r="A633" s="225">
        <v>471</v>
      </c>
      <c r="B633" s="216"/>
      <c r="C633" s="216"/>
      <c r="D633" s="216"/>
      <c r="E633" s="216" t="s">
        <v>1572</v>
      </c>
      <c r="F633" s="226" t="s">
        <v>1573</v>
      </c>
      <c r="G633" s="227"/>
      <c r="H633" s="227"/>
      <c r="I633" s="216"/>
      <c r="J633" s="225">
        <v>335</v>
      </c>
      <c r="K633" s="228">
        <v>7.0601851851851847E-4</v>
      </c>
      <c r="L633" s="225" t="s">
        <v>1162</v>
      </c>
      <c r="M633" s="219"/>
      <c r="N633" s="219"/>
      <c r="O633" s="216"/>
      <c r="P633" s="216"/>
      <c r="Q633" s="216"/>
      <c r="R633" s="220"/>
      <c r="S633" s="220"/>
      <c r="T633" s="220"/>
      <c r="U633" s="230"/>
      <c r="V633" s="231"/>
      <c r="W633" s="232"/>
      <c r="X633" s="233"/>
      <c r="Y633" s="219"/>
      <c r="Z633" s="219"/>
    </row>
    <row r="634" spans="1:26" ht="15.75" thickBot="1">
      <c r="A634" s="225">
        <v>472</v>
      </c>
      <c r="B634" s="216"/>
      <c r="C634" s="216"/>
      <c r="D634" s="216"/>
      <c r="E634" s="216" t="s">
        <v>1574</v>
      </c>
      <c r="F634" s="226" t="s">
        <v>1575</v>
      </c>
      <c r="G634" s="227"/>
      <c r="H634" s="227"/>
      <c r="I634" s="216"/>
      <c r="J634" s="225">
        <v>1000</v>
      </c>
      <c r="K634" s="228">
        <v>4.9884259259259265E-3</v>
      </c>
      <c r="L634" s="225" t="s">
        <v>1162</v>
      </c>
      <c r="M634" s="219"/>
      <c r="N634" s="219"/>
      <c r="O634" s="216"/>
      <c r="P634" s="216"/>
      <c r="Q634" s="216"/>
      <c r="R634" s="220"/>
      <c r="S634" s="220"/>
      <c r="T634" s="220"/>
      <c r="U634" s="230"/>
      <c r="V634" s="231"/>
      <c r="W634" s="232"/>
      <c r="X634" s="233"/>
      <c r="Y634" s="219"/>
      <c r="Z634" s="219"/>
    </row>
    <row r="635" spans="1:26" ht="15.75" thickBot="1">
      <c r="A635" s="225">
        <v>473</v>
      </c>
      <c r="B635" s="216"/>
      <c r="C635" s="216"/>
      <c r="D635" s="216"/>
      <c r="E635" s="216" t="s">
        <v>1576</v>
      </c>
      <c r="F635" s="226" t="s">
        <v>1577</v>
      </c>
      <c r="G635" s="227"/>
      <c r="H635" s="227"/>
      <c r="I635" s="216"/>
      <c r="J635" s="225">
        <v>704</v>
      </c>
      <c r="K635" s="228">
        <v>8.4259259259259253E-3</v>
      </c>
      <c r="L635" s="225" t="s">
        <v>1162</v>
      </c>
      <c r="M635" s="219"/>
      <c r="N635" s="219"/>
      <c r="O635" s="216"/>
      <c r="P635" s="216"/>
      <c r="Q635" s="216"/>
      <c r="R635" s="220"/>
      <c r="S635" s="220"/>
      <c r="T635" s="220"/>
      <c r="U635" s="230"/>
      <c r="V635" s="231"/>
      <c r="W635" s="232"/>
      <c r="X635" s="233"/>
      <c r="Y635" s="219"/>
      <c r="Z635" s="219"/>
    </row>
    <row r="636" spans="1:26" ht="15.75" thickBot="1">
      <c r="A636" s="225">
        <v>474</v>
      </c>
      <c r="B636" s="216"/>
      <c r="C636" s="216"/>
      <c r="D636" s="216"/>
      <c r="E636" s="216" t="s">
        <v>1578</v>
      </c>
      <c r="F636" s="226" t="s">
        <v>1579</v>
      </c>
      <c r="G636" s="227"/>
      <c r="H636" s="227"/>
      <c r="I636" s="216"/>
      <c r="J636" s="225">
        <v>1100</v>
      </c>
      <c r="K636" s="228">
        <v>1.1099537037037038E-2</v>
      </c>
      <c r="L636" s="225" t="s">
        <v>1162</v>
      </c>
      <c r="M636" s="219"/>
      <c r="N636" s="219"/>
      <c r="O636" s="216"/>
      <c r="P636" s="216"/>
      <c r="Q636" s="216"/>
      <c r="R636" s="220"/>
      <c r="S636" s="220"/>
      <c r="T636" s="220"/>
      <c r="U636" s="230"/>
      <c r="V636" s="231"/>
      <c r="W636" s="232"/>
      <c r="X636" s="233"/>
      <c r="Y636" s="219"/>
      <c r="Z636" s="219"/>
    </row>
    <row r="637" spans="1:26" ht="15.75" thickBot="1">
      <c r="A637" s="225">
        <v>475</v>
      </c>
      <c r="B637" s="216"/>
      <c r="C637" s="216"/>
      <c r="D637" s="216"/>
      <c r="E637" s="216" t="s">
        <v>1580</v>
      </c>
      <c r="F637" s="226" t="s">
        <v>1581</v>
      </c>
      <c r="G637" s="227"/>
      <c r="H637" s="227"/>
      <c r="I637" s="216"/>
      <c r="J637" s="225">
        <v>179</v>
      </c>
      <c r="K637" s="228">
        <v>2.2222222222222222E-3</v>
      </c>
      <c r="L637" s="225" t="s">
        <v>1162</v>
      </c>
      <c r="M637" s="219"/>
      <c r="N637" s="219"/>
      <c r="O637" s="216"/>
      <c r="P637" s="216"/>
      <c r="Q637" s="216"/>
      <c r="R637" s="220"/>
      <c r="S637" s="220"/>
      <c r="T637" s="220"/>
      <c r="U637" s="230"/>
      <c r="V637" s="231"/>
      <c r="W637" s="232"/>
      <c r="X637" s="233"/>
      <c r="Y637" s="219"/>
      <c r="Z637" s="219"/>
    </row>
    <row r="638" spans="1:26" ht="15.75" thickBot="1">
      <c r="A638" s="225">
        <v>476</v>
      </c>
      <c r="B638" s="216"/>
      <c r="C638" s="216"/>
      <c r="D638" s="216"/>
      <c r="E638" s="216" t="s">
        <v>1582</v>
      </c>
      <c r="F638" s="226" t="s">
        <v>1583</v>
      </c>
      <c r="G638" s="227"/>
      <c r="H638" s="227"/>
      <c r="I638" s="216"/>
      <c r="J638" s="225">
        <v>961</v>
      </c>
      <c r="K638" s="228">
        <v>5.6249999999999989E-3</v>
      </c>
      <c r="L638" s="225" t="s">
        <v>1162</v>
      </c>
      <c r="M638" s="219"/>
      <c r="N638" s="219"/>
      <c r="O638" s="216"/>
      <c r="P638" s="216"/>
      <c r="Q638" s="216"/>
      <c r="R638" s="220"/>
      <c r="S638" s="220"/>
      <c r="T638" s="220"/>
      <c r="U638" s="230"/>
      <c r="V638" s="231"/>
      <c r="W638" s="232"/>
      <c r="X638" s="233"/>
      <c r="Y638" s="219"/>
      <c r="Z638" s="219"/>
    </row>
    <row r="639" spans="1:26" ht="15.75" thickBot="1">
      <c r="A639" s="225">
        <v>477</v>
      </c>
      <c r="B639" s="216"/>
      <c r="C639" s="216"/>
      <c r="D639" s="216"/>
      <c r="E639" s="216" t="s">
        <v>1584</v>
      </c>
      <c r="F639" s="226" t="s">
        <v>1585</v>
      </c>
      <c r="G639" s="227"/>
      <c r="H639" s="227"/>
      <c r="I639" s="216"/>
      <c r="J639" s="225">
        <v>144</v>
      </c>
      <c r="K639" s="228">
        <v>1.8287037037037037E-3</v>
      </c>
      <c r="L639" s="225" t="s">
        <v>1162</v>
      </c>
      <c r="M639" s="219"/>
      <c r="N639" s="219"/>
      <c r="O639" s="216"/>
      <c r="P639" s="216"/>
      <c r="Q639" s="216"/>
      <c r="R639" s="220"/>
      <c r="S639" s="220"/>
      <c r="T639" s="220"/>
      <c r="U639" s="230"/>
      <c r="V639" s="231"/>
      <c r="W639" s="232"/>
      <c r="X639" s="233"/>
      <c r="Y639" s="219"/>
      <c r="Z639" s="219"/>
    </row>
    <row r="640" spans="1:26" ht="15.75" thickBot="1">
      <c r="A640" s="225">
        <v>478</v>
      </c>
      <c r="B640" s="216"/>
      <c r="C640" s="216"/>
      <c r="D640" s="216"/>
      <c r="E640" s="216" t="s">
        <v>1586</v>
      </c>
      <c r="F640" s="226" t="s">
        <v>1587</v>
      </c>
      <c r="G640" s="227"/>
      <c r="H640" s="227"/>
      <c r="I640" s="216"/>
      <c r="J640" s="225">
        <v>2400</v>
      </c>
      <c r="K640" s="228">
        <v>2.6620370370370374E-3</v>
      </c>
      <c r="L640" s="225" t="s">
        <v>1162</v>
      </c>
      <c r="M640" s="219"/>
      <c r="N640" s="219"/>
      <c r="O640" s="216"/>
      <c r="P640" s="216"/>
      <c r="Q640" s="216"/>
      <c r="R640" s="220"/>
      <c r="S640" s="220"/>
      <c r="T640" s="220"/>
      <c r="U640" s="230"/>
      <c r="V640" s="231"/>
      <c r="W640" s="232"/>
      <c r="X640" s="233"/>
      <c r="Y640" s="219"/>
      <c r="Z640" s="219"/>
    </row>
    <row r="641" spans="1:26" ht="15.75" thickBot="1">
      <c r="A641" s="225">
        <v>479</v>
      </c>
      <c r="B641" s="216"/>
      <c r="C641" s="216"/>
      <c r="D641" s="216"/>
      <c r="E641" s="216" t="s">
        <v>1588</v>
      </c>
      <c r="F641" s="226" t="s">
        <v>1589</v>
      </c>
      <c r="G641" s="227"/>
      <c r="H641" s="227"/>
      <c r="I641" s="216"/>
      <c r="J641" s="225">
        <v>2800</v>
      </c>
      <c r="K641" s="228">
        <v>4.9884259259259265E-3</v>
      </c>
      <c r="L641" s="225" t="s">
        <v>1162</v>
      </c>
      <c r="M641" s="219"/>
      <c r="N641" s="219"/>
      <c r="O641" s="216"/>
      <c r="P641" s="216"/>
      <c r="Q641" s="216"/>
      <c r="R641" s="220"/>
      <c r="S641" s="220"/>
      <c r="T641" s="220"/>
      <c r="U641" s="230"/>
      <c r="V641" s="231"/>
      <c r="W641" s="232"/>
      <c r="X641" s="233"/>
      <c r="Y641" s="219"/>
      <c r="Z641" s="219"/>
    </row>
    <row r="642" spans="1:26" ht="15.75" thickBot="1">
      <c r="A642" s="225">
        <v>480</v>
      </c>
      <c r="B642" s="216"/>
      <c r="C642" s="216"/>
      <c r="D642" s="216"/>
      <c r="E642" s="216" t="s">
        <v>1590</v>
      </c>
      <c r="F642" s="226" t="s">
        <v>1591</v>
      </c>
      <c r="G642" s="227"/>
      <c r="H642" s="227"/>
      <c r="I642" s="216"/>
      <c r="J642" s="225">
        <v>14000</v>
      </c>
      <c r="K642" s="228">
        <v>8.5416666666666679E-3</v>
      </c>
      <c r="L642" s="225" t="s">
        <v>1162</v>
      </c>
      <c r="M642" s="219"/>
      <c r="N642" s="219"/>
      <c r="O642" s="216"/>
      <c r="P642" s="216"/>
      <c r="Q642" s="216"/>
      <c r="R642" s="220"/>
      <c r="S642" s="220"/>
      <c r="T642" s="220"/>
      <c r="U642" s="230"/>
      <c r="V642" s="231"/>
      <c r="W642" s="232"/>
      <c r="X642" s="233"/>
      <c r="Y642" s="219"/>
      <c r="Z642" s="219"/>
    </row>
    <row r="643" spans="1:26" ht="15.75" thickBot="1">
      <c r="A643" s="225">
        <v>481</v>
      </c>
      <c r="B643" s="216"/>
      <c r="C643" s="216"/>
      <c r="D643" s="216"/>
      <c r="E643" s="216" t="s">
        <v>1592</v>
      </c>
      <c r="F643" s="226" t="s">
        <v>1593</v>
      </c>
      <c r="G643" s="227"/>
      <c r="H643" s="227"/>
      <c r="I643" s="216"/>
      <c r="J643" s="225">
        <v>3500</v>
      </c>
      <c r="K643" s="228">
        <v>7.4884259259259262E-3</v>
      </c>
      <c r="L643" s="225" t="s">
        <v>1162</v>
      </c>
      <c r="M643" s="219"/>
      <c r="N643" s="219"/>
      <c r="O643" s="216"/>
      <c r="P643" s="216"/>
      <c r="Q643" s="216"/>
      <c r="R643" s="220"/>
      <c r="S643" s="220"/>
      <c r="T643" s="220"/>
      <c r="U643" s="230"/>
      <c r="V643" s="231"/>
      <c r="W643" s="232"/>
      <c r="X643" s="233"/>
      <c r="Y643" s="219"/>
      <c r="Z643" s="219"/>
    </row>
    <row r="644" spans="1:26" ht="15.75" thickBot="1">
      <c r="A644" s="225">
        <v>482</v>
      </c>
      <c r="B644" s="216"/>
      <c r="C644" s="216"/>
      <c r="D644" s="216"/>
      <c r="E644" s="216" t="s">
        <v>1594</v>
      </c>
      <c r="F644" s="226" t="s">
        <v>1596</v>
      </c>
      <c r="G644" s="227"/>
      <c r="H644" s="227"/>
      <c r="I644" s="216"/>
      <c r="J644" s="225">
        <v>118</v>
      </c>
      <c r="K644" s="228">
        <v>1.0763888888888889E-3</v>
      </c>
      <c r="L644" s="225" t="s">
        <v>1162</v>
      </c>
      <c r="M644" s="219"/>
      <c r="N644" s="219"/>
      <c r="O644" s="216"/>
      <c r="P644" s="216"/>
      <c r="Q644" s="216"/>
      <c r="R644" s="220"/>
      <c r="S644" s="220"/>
      <c r="T644" s="220"/>
      <c r="U644" s="230"/>
      <c r="V644" s="231"/>
      <c r="W644" s="232"/>
      <c r="X644" s="233"/>
      <c r="Y644" s="219"/>
      <c r="Z644" s="219"/>
    </row>
    <row r="645" spans="1:26" ht="15.75" thickBot="1">
      <c r="A645" s="225">
        <v>483</v>
      </c>
      <c r="B645" s="216"/>
      <c r="C645" s="216"/>
      <c r="D645" s="216"/>
      <c r="E645" s="216" t="s">
        <v>1597</v>
      </c>
      <c r="F645" s="226" t="s">
        <v>1598</v>
      </c>
      <c r="G645" s="227"/>
      <c r="H645" s="227"/>
      <c r="I645" s="216"/>
      <c r="J645" s="225">
        <v>317</v>
      </c>
      <c r="K645" s="228">
        <v>1.6319444444444445E-3</v>
      </c>
      <c r="L645" s="225" t="s">
        <v>1162</v>
      </c>
      <c r="M645" s="219"/>
      <c r="N645" s="219"/>
      <c r="O645" s="216"/>
      <c r="P645" s="216"/>
      <c r="Q645" s="216"/>
      <c r="R645" s="220"/>
      <c r="S645" s="220"/>
      <c r="T645" s="220"/>
      <c r="U645" s="230"/>
      <c r="V645" s="231"/>
      <c r="W645" s="232"/>
      <c r="X645" s="233"/>
      <c r="Y645" s="219"/>
      <c r="Z645" s="219"/>
    </row>
    <row r="646" spans="1:26" ht="15.75" thickBot="1">
      <c r="A646" s="225">
        <v>484</v>
      </c>
      <c r="B646" s="216"/>
      <c r="C646" s="216"/>
      <c r="D646" s="216"/>
      <c r="E646" s="216" t="s">
        <v>1599</v>
      </c>
      <c r="F646" s="226" t="s">
        <v>1600</v>
      </c>
      <c r="G646" s="227"/>
      <c r="H646" s="227"/>
      <c r="I646" s="216"/>
      <c r="J646" s="225">
        <v>3200</v>
      </c>
      <c r="K646" s="228">
        <v>4.3749999999999995E-3</v>
      </c>
      <c r="L646" s="225" t="s">
        <v>1162</v>
      </c>
      <c r="M646" s="219"/>
      <c r="N646" s="219"/>
      <c r="O646" s="216"/>
      <c r="P646" s="216"/>
      <c r="Q646" s="216"/>
      <c r="R646" s="220"/>
      <c r="S646" s="220"/>
      <c r="T646" s="220"/>
      <c r="U646" s="230"/>
      <c r="V646" s="231"/>
      <c r="W646" s="232"/>
      <c r="X646" s="233"/>
      <c r="Y646" s="219"/>
      <c r="Z646" s="219"/>
    </row>
    <row r="647" spans="1:26" ht="15.75" thickBot="1">
      <c r="A647" s="225">
        <v>485</v>
      </c>
      <c r="B647" s="216"/>
      <c r="C647" s="216"/>
      <c r="D647" s="216"/>
      <c r="E647" s="216" t="s">
        <v>1601</v>
      </c>
      <c r="F647" s="226" t="s">
        <v>1602</v>
      </c>
      <c r="G647" s="227"/>
      <c r="H647" s="227"/>
      <c r="I647" s="216"/>
      <c r="J647" s="225">
        <v>219</v>
      </c>
      <c r="K647" s="228">
        <v>2.1296296296296298E-3</v>
      </c>
      <c r="L647" s="225" t="s">
        <v>1162</v>
      </c>
      <c r="M647" s="219"/>
      <c r="N647" s="219"/>
      <c r="O647" s="216"/>
      <c r="P647" s="216"/>
      <c r="Q647" s="216"/>
      <c r="R647" s="220"/>
      <c r="S647" s="220"/>
      <c r="T647" s="220"/>
      <c r="U647" s="230"/>
      <c r="V647" s="231"/>
      <c r="W647" s="232"/>
      <c r="X647" s="233"/>
      <c r="Y647" s="219"/>
      <c r="Z647" s="219"/>
    </row>
    <row r="648" spans="1:26" ht="15.75" thickBot="1">
      <c r="A648" s="225">
        <v>486</v>
      </c>
      <c r="B648" s="216"/>
      <c r="C648" s="216"/>
      <c r="D648" s="216"/>
      <c r="E648" s="216" t="s">
        <v>1603</v>
      </c>
      <c r="F648" s="226" t="s">
        <v>1604</v>
      </c>
      <c r="G648" s="227"/>
      <c r="H648" s="227"/>
      <c r="I648" s="216"/>
      <c r="J648" s="225">
        <v>22000</v>
      </c>
      <c r="K648" s="228">
        <v>7.2453703703703708E-3</v>
      </c>
      <c r="L648" s="225" t="s">
        <v>1162</v>
      </c>
      <c r="M648" s="219"/>
      <c r="N648" s="219"/>
      <c r="O648" s="216"/>
      <c r="P648" s="216"/>
      <c r="Q648" s="216"/>
      <c r="R648" s="220"/>
      <c r="S648" s="220"/>
      <c r="T648" s="220"/>
      <c r="U648" s="230"/>
      <c r="V648" s="231"/>
      <c r="W648" s="232"/>
      <c r="X648" s="233"/>
      <c r="Y648" s="219"/>
      <c r="Z648" s="219"/>
    </row>
    <row r="649" spans="1:26" ht="15.75" thickBot="1">
      <c r="A649" s="225">
        <v>487</v>
      </c>
      <c r="B649" s="216"/>
      <c r="C649" s="216"/>
      <c r="D649" s="216"/>
      <c r="E649" s="216" t="s">
        <v>1605</v>
      </c>
      <c r="F649" s="226" t="s">
        <v>1606</v>
      </c>
      <c r="G649" s="227"/>
      <c r="H649" s="227"/>
      <c r="I649" s="216"/>
      <c r="J649" s="225">
        <v>743</v>
      </c>
      <c r="K649" s="228">
        <v>2.1527777777777778E-3</v>
      </c>
      <c r="L649" s="225" t="s">
        <v>1162</v>
      </c>
      <c r="M649" s="219"/>
      <c r="N649" s="219"/>
      <c r="O649" s="216"/>
      <c r="P649" s="216"/>
      <c r="Q649" s="216"/>
      <c r="R649" s="220"/>
      <c r="S649" s="220"/>
      <c r="T649" s="220"/>
      <c r="U649" s="230"/>
      <c r="V649" s="231"/>
      <c r="W649" s="232"/>
      <c r="X649" s="233"/>
      <c r="Y649" s="219"/>
      <c r="Z649" s="219"/>
    </row>
    <row r="650" spans="1:26" ht="15.75" thickBot="1">
      <c r="A650" s="225">
        <v>488</v>
      </c>
      <c r="B650" s="216"/>
      <c r="C650" s="216"/>
      <c r="D650" s="216"/>
      <c r="E650" s="216" t="s">
        <v>1607</v>
      </c>
      <c r="F650" s="226" t="s">
        <v>1608</v>
      </c>
      <c r="G650" s="227"/>
      <c r="H650" s="227"/>
      <c r="I650" s="216"/>
      <c r="J650" s="225">
        <v>408</v>
      </c>
      <c r="K650" s="228">
        <v>1.3773148148148147E-3</v>
      </c>
      <c r="L650" s="225" t="s">
        <v>1162</v>
      </c>
      <c r="M650" s="219"/>
      <c r="N650" s="219"/>
      <c r="O650" s="216"/>
      <c r="P650" s="216"/>
      <c r="Q650" s="216"/>
      <c r="R650" s="220"/>
      <c r="S650" s="220"/>
      <c r="T650" s="220"/>
      <c r="U650" s="230"/>
      <c r="V650" s="231"/>
      <c r="W650" s="232"/>
      <c r="X650" s="233"/>
      <c r="Y650" s="219"/>
      <c r="Z650" s="219"/>
    </row>
    <row r="651" spans="1:26" ht="15.75" thickBot="1">
      <c r="A651" s="225">
        <v>489</v>
      </c>
      <c r="B651" s="216"/>
      <c r="C651" s="216"/>
      <c r="D651" s="216"/>
      <c r="E651" s="216" t="s">
        <v>1609</v>
      </c>
      <c r="F651" s="226" t="s">
        <v>1610</v>
      </c>
      <c r="G651" s="227"/>
      <c r="H651" s="227"/>
      <c r="I651" s="216"/>
      <c r="J651" s="225">
        <v>1800</v>
      </c>
      <c r="K651" s="228">
        <v>3.2291666666666666E-3</v>
      </c>
      <c r="L651" s="225" t="s">
        <v>1162</v>
      </c>
      <c r="M651" s="219"/>
      <c r="N651" s="219"/>
      <c r="O651" s="216"/>
      <c r="P651" s="216"/>
      <c r="Q651" s="216"/>
      <c r="R651" s="220"/>
      <c r="S651" s="220"/>
      <c r="T651" s="220"/>
      <c r="U651" s="230"/>
      <c r="V651" s="231"/>
      <c r="W651" s="232"/>
      <c r="X651" s="233"/>
      <c r="Y651" s="219"/>
      <c r="Z651" s="219"/>
    </row>
    <row r="652" spans="1:26" ht="15.75" thickBot="1">
      <c r="A652" s="225">
        <v>490</v>
      </c>
      <c r="B652" s="216"/>
      <c r="C652" s="216"/>
      <c r="D652" s="216"/>
      <c r="E652" s="216" t="s">
        <v>1611</v>
      </c>
      <c r="F652" s="226" t="s">
        <v>1612</v>
      </c>
      <c r="G652" s="227"/>
      <c r="H652" s="227"/>
      <c r="I652" s="216"/>
      <c r="J652" s="225">
        <v>577</v>
      </c>
      <c r="K652" s="228">
        <v>2.0370370370370373E-3</v>
      </c>
      <c r="L652" s="225" t="s">
        <v>1162</v>
      </c>
      <c r="M652" s="219"/>
      <c r="N652" s="219"/>
      <c r="O652" s="216"/>
      <c r="P652" s="216"/>
      <c r="Q652" s="216"/>
      <c r="R652" s="220"/>
      <c r="S652" s="220"/>
      <c r="T652" s="220"/>
      <c r="U652" s="230"/>
      <c r="V652" s="231"/>
      <c r="W652" s="232"/>
      <c r="X652" s="233"/>
      <c r="Y652" s="219"/>
      <c r="Z652" s="219"/>
    </row>
    <row r="653" spans="1:26" ht="15.75" thickBot="1">
      <c r="A653" s="225">
        <v>491</v>
      </c>
      <c r="B653" s="216"/>
      <c r="C653" s="216"/>
      <c r="D653" s="216"/>
      <c r="E653" s="216" t="s">
        <v>1613</v>
      </c>
      <c r="F653" s="226" t="s">
        <v>1614</v>
      </c>
      <c r="G653" s="227"/>
      <c r="H653" s="227"/>
      <c r="I653" s="216"/>
      <c r="J653" s="225">
        <v>1100</v>
      </c>
      <c r="K653" s="228">
        <v>2.8587962962962963E-3</v>
      </c>
      <c r="L653" s="225" t="s">
        <v>1162</v>
      </c>
      <c r="M653" s="219"/>
      <c r="N653" s="219"/>
      <c r="O653" s="216"/>
      <c r="P653" s="216"/>
      <c r="Q653" s="216"/>
      <c r="R653" s="220"/>
      <c r="S653" s="220"/>
      <c r="T653" s="220"/>
      <c r="U653" s="230"/>
      <c r="V653" s="231"/>
      <c r="W653" s="232"/>
      <c r="X653" s="233"/>
      <c r="Y653" s="219"/>
      <c r="Z653" s="219"/>
    </row>
    <row r="654" spans="1:26" ht="15.75" thickBot="1">
      <c r="A654" s="225">
        <v>492</v>
      </c>
      <c r="B654" s="216"/>
      <c r="C654" s="216"/>
      <c r="D654" s="216"/>
      <c r="E654" s="216" t="s">
        <v>1615</v>
      </c>
      <c r="F654" s="226" t="s">
        <v>1616</v>
      </c>
      <c r="G654" s="227"/>
      <c r="H654" s="227"/>
      <c r="I654" s="216"/>
      <c r="J654" s="225">
        <v>225</v>
      </c>
      <c r="K654" s="228">
        <v>1.6319444444444445E-3</v>
      </c>
      <c r="L654" s="225" t="s">
        <v>1162</v>
      </c>
      <c r="M654" s="219"/>
      <c r="N654" s="219"/>
      <c r="O654" s="216"/>
      <c r="P654" s="216"/>
      <c r="Q654" s="216"/>
      <c r="R654" s="220"/>
      <c r="S654" s="220"/>
      <c r="T654" s="220"/>
      <c r="U654" s="230"/>
      <c r="V654" s="231"/>
      <c r="W654" s="232"/>
      <c r="X654" s="233"/>
      <c r="Y654" s="219"/>
      <c r="Z654" s="219"/>
    </row>
    <row r="655" spans="1:26" ht="15.75" thickBot="1">
      <c r="A655" s="225">
        <v>493</v>
      </c>
      <c r="B655" s="216"/>
      <c r="C655" s="216"/>
      <c r="D655" s="216"/>
      <c r="E655" s="216" t="s">
        <v>1617</v>
      </c>
      <c r="F655" s="226" t="s">
        <v>1618</v>
      </c>
      <c r="G655" s="227"/>
      <c r="H655" s="227"/>
      <c r="I655" s="216"/>
      <c r="J655" s="225">
        <v>208</v>
      </c>
      <c r="K655" s="228">
        <v>2.8472222222222219E-3</v>
      </c>
      <c r="L655" s="225" t="s">
        <v>1162</v>
      </c>
      <c r="M655" s="219"/>
      <c r="N655" s="219"/>
      <c r="O655" s="216"/>
      <c r="P655" s="216"/>
      <c r="Q655" s="216"/>
      <c r="R655" s="220"/>
      <c r="S655" s="220"/>
      <c r="T655" s="220"/>
      <c r="U655" s="230"/>
      <c r="V655" s="231"/>
      <c r="W655" s="232"/>
      <c r="X655" s="233"/>
      <c r="Y655" s="219"/>
      <c r="Z655" s="219"/>
    </row>
    <row r="656" spans="1:26" ht="15.75" thickBot="1">
      <c r="A656" s="225">
        <v>494</v>
      </c>
      <c r="B656" s="216"/>
      <c r="C656" s="216"/>
      <c r="D656" s="216"/>
      <c r="E656" s="216" t="s">
        <v>1619</v>
      </c>
      <c r="F656" s="226" t="s">
        <v>1620</v>
      </c>
      <c r="G656" s="227"/>
      <c r="H656" s="227"/>
      <c r="I656" s="216"/>
      <c r="J656" s="225">
        <v>422</v>
      </c>
      <c r="K656" s="228">
        <v>2.685185185185185E-3</v>
      </c>
      <c r="L656" s="225" t="s">
        <v>1162</v>
      </c>
      <c r="M656" s="219"/>
      <c r="N656" s="219"/>
      <c r="O656" s="216"/>
      <c r="P656" s="216"/>
      <c r="Q656" s="216"/>
      <c r="R656" s="220"/>
      <c r="S656" s="220"/>
      <c r="T656" s="220"/>
      <c r="U656" s="230"/>
      <c r="V656" s="231"/>
      <c r="W656" s="232"/>
      <c r="X656" s="233"/>
      <c r="Y656" s="219"/>
      <c r="Z656" s="219"/>
    </row>
    <row r="657" spans="1:26" ht="15.75" thickBot="1">
      <c r="A657" s="225">
        <v>495</v>
      </c>
      <c r="B657" s="216"/>
      <c r="C657" s="216"/>
      <c r="D657" s="216"/>
      <c r="E657" s="216" t="s">
        <v>1621</v>
      </c>
      <c r="F657" s="226" t="s">
        <v>1622</v>
      </c>
      <c r="G657" s="227"/>
      <c r="H657" s="227"/>
      <c r="I657" s="216"/>
      <c r="J657" s="225">
        <v>6600</v>
      </c>
      <c r="K657" s="228">
        <v>5.5092592592592589E-3</v>
      </c>
      <c r="L657" s="225" t="s">
        <v>1162</v>
      </c>
      <c r="M657" s="219"/>
      <c r="N657" s="219"/>
      <c r="O657" s="216"/>
      <c r="P657" s="216"/>
      <c r="Q657" s="216"/>
      <c r="R657" s="220"/>
      <c r="S657" s="220"/>
      <c r="T657" s="220"/>
      <c r="U657" s="230"/>
      <c r="V657" s="231"/>
      <c r="W657" s="232"/>
      <c r="X657" s="233"/>
      <c r="Y657" s="219"/>
      <c r="Z657" s="219"/>
    </row>
    <row r="658" spans="1:26" ht="15.75" thickBot="1">
      <c r="A658" s="225">
        <v>496</v>
      </c>
      <c r="B658" s="216"/>
      <c r="C658" s="216"/>
      <c r="D658" s="216"/>
      <c r="E658" s="216" t="s">
        <v>1623</v>
      </c>
      <c r="F658" s="226" t="s">
        <v>1624</v>
      </c>
      <c r="G658" s="227"/>
      <c r="H658" s="227"/>
      <c r="I658" s="216"/>
      <c r="J658" s="225">
        <v>1000</v>
      </c>
      <c r="K658" s="228">
        <v>4.0393518518518521E-3</v>
      </c>
      <c r="L658" s="225" t="s">
        <v>1162</v>
      </c>
      <c r="M658" s="219"/>
      <c r="N658" s="219"/>
      <c r="O658" s="216"/>
      <c r="P658" s="216"/>
      <c r="Q658" s="216"/>
      <c r="R658" s="220"/>
      <c r="S658" s="220"/>
      <c r="T658" s="220"/>
      <c r="U658" s="230"/>
      <c r="V658" s="231"/>
      <c r="W658" s="232"/>
      <c r="X658" s="233"/>
      <c r="Y658" s="219"/>
      <c r="Z658" s="219"/>
    </row>
    <row r="659" spans="1:26" ht="15.75" thickBot="1">
      <c r="A659" s="225">
        <v>497</v>
      </c>
      <c r="B659" s="216"/>
      <c r="C659" s="216"/>
      <c r="D659" s="216"/>
      <c r="E659" s="216" t="s">
        <v>1625</v>
      </c>
      <c r="F659" s="226" t="s">
        <v>1626</v>
      </c>
      <c r="G659" s="227"/>
      <c r="H659" s="227"/>
      <c r="I659" s="216"/>
      <c r="J659" s="225">
        <v>2100</v>
      </c>
      <c r="K659" s="228">
        <v>4.3946759259259255E-2</v>
      </c>
      <c r="L659" s="225" t="s">
        <v>1162</v>
      </c>
      <c r="M659" s="219"/>
      <c r="N659" s="219"/>
      <c r="O659" s="216"/>
      <c r="P659" s="216"/>
      <c r="Q659" s="216"/>
      <c r="R659" s="220"/>
      <c r="S659" s="220"/>
      <c r="T659" s="220"/>
      <c r="U659" s="230"/>
      <c r="V659" s="231"/>
      <c r="W659" s="232"/>
      <c r="X659" s="233"/>
      <c r="Y659" s="219"/>
      <c r="Z659" s="219"/>
    </row>
    <row r="660" spans="1:26" ht="15.75" thickBot="1">
      <c r="A660" s="225">
        <v>498</v>
      </c>
      <c r="B660" s="216"/>
      <c r="C660" s="216"/>
      <c r="D660" s="216"/>
      <c r="E660" s="216" t="s">
        <v>1627</v>
      </c>
      <c r="F660" s="226" t="s">
        <v>1628</v>
      </c>
      <c r="G660" s="227"/>
      <c r="H660" s="227"/>
      <c r="I660" s="216"/>
      <c r="J660" s="225">
        <v>1900</v>
      </c>
      <c r="K660" s="228">
        <v>2.5046296296296299E-2</v>
      </c>
      <c r="L660" s="225" t="s">
        <v>1162</v>
      </c>
      <c r="M660" s="219"/>
      <c r="N660" s="219"/>
      <c r="O660" s="216"/>
      <c r="P660" s="216"/>
      <c r="Q660" s="216"/>
      <c r="R660" s="220"/>
      <c r="S660" s="220"/>
      <c r="T660" s="220"/>
      <c r="U660" s="230"/>
      <c r="V660" s="231"/>
      <c r="W660" s="232"/>
      <c r="X660" s="233"/>
      <c r="Y660" s="219"/>
      <c r="Z660" s="219"/>
    </row>
    <row r="661" spans="1:26" ht="15.75" thickBot="1">
      <c r="A661" s="225">
        <v>499</v>
      </c>
      <c r="B661" s="216"/>
      <c r="C661" s="216"/>
      <c r="D661" s="216"/>
      <c r="E661" s="216" t="s">
        <v>1629</v>
      </c>
      <c r="F661" s="226" t="s">
        <v>1630</v>
      </c>
      <c r="G661" s="227"/>
      <c r="H661" s="227"/>
      <c r="I661" s="216"/>
      <c r="J661" s="225">
        <v>234</v>
      </c>
      <c r="K661" s="228">
        <v>1.3888888888888889E-3</v>
      </c>
      <c r="L661" s="225" t="s">
        <v>1162</v>
      </c>
      <c r="M661" s="219"/>
      <c r="N661" s="219"/>
      <c r="O661" s="216"/>
      <c r="P661" s="216"/>
      <c r="Q661" s="216"/>
      <c r="R661" s="220"/>
      <c r="S661" s="220"/>
      <c r="T661" s="220"/>
      <c r="U661" s="230"/>
      <c r="V661" s="231"/>
      <c r="W661" s="232"/>
      <c r="X661" s="233"/>
      <c r="Y661" s="219"/>
      <c r="Z661" s="219"/>
    </row>
    <row r="662" spans="1:26" ht="15.75" thickBot="1">
      <c r="A662" s="225">
        <v>500</v>
      </c>
      <c r="B662" s="216"/>
      <c r="C662" s="216"/>
      <c r="D662" s="216"/>
      <c r="E662" s="216" t="s">
        <v>1631</v>
      </c>
      <c r="F662" s="226" t="s">
        <v>1632</v>
      </c>
      <c r="G662" s="227"/>
      <c r="H662" s="227"/>
      <c r="I662" s="216"/>
      <c r="J662" s="225">
        <v>205</v>
      </c>
      <c r="K662" s="228">
        <v>2.1874999999999998E-3</v>
      </c>
      <c r="L662" s="225" t="s">
        <v>1162</v>
      </c>
      <c r="M662" s="219"/>
      <c r="N662" s="219"/>
      <c r="O662" s="216"/>
      <c r="P662" s="216"/>
      <c r="Q662" s="216"/>
      <c r="R662" s="220"/>
      <c r="S662" s="220"/>
      <c r="T662" s="220"/>
      <c r="U662" s="230"/>
      <c r="V662" s="231"/>
      <c r="W662" s="232"/>
      <c r="X662" s="233"/>
      <c r="Y662" s="219"/>
      <c r="Z662" s="219"/>
    </row>
    <row r="663" spans="1:26" ht="15.75" thickBot="1">
      <c r="A663" s="225">
        <v>501</v>
      </c>
      <c r="B663" s="216"/>
      <c r="C663" s="216"/>
      <c r="D663" s="216"/>
      <c r="E663" s="216" t="s">
        <v>1633</v>
      </c>
      <c r="F663" s="226" t="s">
        <v>1634</v>
      </c>
      <c r="G663" s="227"/>
      <c r="H663" s="227"/>
      <c r="I663" s="216"/>
      <c r="J663" s="225">
        <v>3000</v>
      </c>
      <c r="K663" s="228">
        <v>2.3958333333333331E-2</v>
      </c>
      <c r="L663" s="225" t="s">
        <v>1162</v>
      </c>
      <c r="M663" s="219"/>
      <c r="N663" s="219"/>
      <c r="O663" s="216"/>
      <c r="P663" s="216"/>
      <c r="Q663" s="216"/>
      <c r="R663" s="220"/>
      <c r="S663" s="220"/>
      <c r="T663" s="220"/>
      <c r="U663" s="230"/>
      <c r="V663" s="231"/>
      <c r="W663" s="232"/>
      <c r="X663" s="233"/>
      <c r="Y663" s="219"/>
      <c r="Z663" s="219"/>
    </row>
    <row r="664" spans="1:26" ht="15.75" thickBot="1">
      <c r="A664" s="225">
        <v>502</v>
      </c>
      <c r="B664" s="216"/>
      <c r="C664" s="216"/>
      <c r="D664" s="216"/>
      <c r="E664" s="216" t="s">
        <v>1635</v>
      </c>
      <c r="F664" s="226" t="s">
        <v>1636</v>
      </c>
      <c r="G664" s="227"/>
      <c r="H664" s="227"/>
      <c r="I664" s="216"/>
      <c r="J664" s="225">
        <v>2400</v>
      </c>
      <c r="K664" s="228">
        <v>3.7743055555555557E-2</v>
      </c>
      <c r="L664" s="225" t="s">
        <v>1162</v>
      </c>
      <c r="M664" s="219"/>
      <c r="N664" s="219"/>
      <c r="O664" s="216"/>
      <c r="P664" s="216"/>
      <c r="Q664" s="216"/>
      <c r="R664" s="220"/>
      <c r="S664" s="220"/>
      <c r="T664" s="220"/>
      <c r="U664" s="230"/>
      <c r="V664" s="231"/>
      <c r="W664" s="232"/>
      <c r="X664" s="233"/>
      <c r="Y664" s="219"/>
      <c r="Z664" s="219"/>
    </row>
    <row r="665" spans="1:26" ht="15.75" thickBot="1">
      <c r="A665" s="225">
        <v>503</v>
      </c>
      <c r="B665" s="216"/>
      <c r="C665" s="216"/>
      <c r="D665" s="216"/>
      <c r="E665" s="216" t="s">
        <v>1637</v>
      </c>
      <c r="F665" s="226" t="s">
        <v>1638</v>
      </c>
      <c r="G665" s="227"/>
      <c r="H665" s="227"/>
      <c r="I665" s="216"/>
      <c r="J665" s="225">
        <v>2800</v>
      </c>
      <c r="K665" s="228">
        <v>1.8460648148148146E-2</v>
      </c>
      <c r="L665" s="225" t="s">
        <v>1162</v>
      </c>
      <c r="M665" s="219"/>
      <c r="N665" s="219"/>
      <c r="O665" s="216"/>
      <c r="P665" s="216"/>
      <c r="Q665" s="216"/>
      <c r="R665" s="220"/>
      <c r="S665" s="220"/>
      <c r="T665" s="220"/>
      <c r="U665" s="230"/>
      <c r="V665" s="231"/>
      <c r="W665" s="232"/>
      <c r="X665" s="233"/>
      <c r="Y665" s="219"/>
      <c r="Z665" s="219"/>
    </row>
    <row r="666" spans="1:26" ht="15.75" thickBot="1">
      <c r="A666" s="225">
        <v>504</v>
      </c>
      <c r="B666" s="216"/>
      <c r="C666" s="216"/>
      <c r="D666" s="216"/>
      <c r="E666" s="216" t="s">
        <v>1639</v>
      </c>
      <c r="F666" s="226" t="s">
        <v>1640</v>
      </c>
      <c r="G666" s="227"/>
      <c r="H666" s="227"/>
      <c r="I666" s="216"/>
      <c r="J666" s="225">
        <v>3500</v>
      </c>
      <c r="K666" s="228">
        <v>3.8206018518518521E-2</v>
      </c>
      <c r="L666" s="225" t="s">
        <v>1162</v>
      </c>
      <c r="M666" s="219"/>
      <c r="N666" s="219"/>
      <c r="O666" s="216"/>
      <c r="P666" s="216"/>
      <c r="Q666" s="216"/>
      <c r="R666" s="220"/>
      <c r="S666" s="220"/>
      <c r="T666" s="220"/>
      <c r="U666" s="230"/>
      <c r="V666" s="231"/>
      <c r="W666" s="232"/>
      <c r="X666" s="233"/>
      <c r="Y666" s="219"/>
      <c r="Z666" s="219"/>
    </row>
    <row r="667" spans="1:26" ht="15.75" thickBot="1">
      <c r="A667" s="225">
        <v>505</v>
      </c>
      <c r="B667" s="216"/>
      <c r="C667" s="216"/>
      <c r="D667" s="216"/>
      <c r="E667" s="216" t="s">
        <v>1641</v>
      </c>
      <c r="F667" s="226" t="s">
        <v>1642</v>
      </c>
      <c r="G667" s="227"/>
      <c r="H667" s="227"/>
      <c r="I667" s="216"/>
      <c r="J667" s="225">
        <v>1000</v>
      </c>
      <c r="K667" s="228">
        <v>1.1562499999999998E-2</v>
      </c>
      <c r="L667" s="225" t="s">
        <v>1162</v>
      </c>
      <c r="M667" s="219"/>
      <c r="N667" s="219"/>
      <c r="O667" s="216"/>
      <c r="P667" s="216"/>
      <c r="Q667" s="216"/>
      <c r="R667" s="220"/>
      <c r="S667" s="220"/>
      <c r="T667" s="220"/>
      <c r="U667" s="230"/>
      <c r="V667" s="231"/>
      <c r="W667" s="232"/>
      <c r="X667" s="233"/>
      <c r="Y667" s="219"/>
      <c r="Z667" s="219"/>
    </row>
    <row r="668" spans="1:26" ht="15.75" thickBot="1">
      <c r="A668" s="225">
        <v>506</v>
      </c>
      <c r="B668" s="216"/>
      <c r="C668" s="216"/>
      <c r="D668" s="216"/>
      <c r="E668" s="216" t="s">
        <v>1643</v>
      </c>
      <c r="F668" s="226" t="s">
        <v>1644</v>
      </c>
      <c r="G668" s="227"/>
      <c r="H668" s="227"/>
      <c r="I668" s="216"/>
      <c r="J668" s="225">
        <v>4300</v>
      </c>
      <c r="K668" s="228">
        <v>2.4340277777777777E-2</v>
      </c>
      <c r="L668" s="225" t="s">
        <v>1162</v>
      </c>
      <c r="M668" s="219"/>
      <c r="N668" s="219"/>
      <c r="O668" s="216"/>
      <c r="P668" s="216"/>
      <c r="Q668" s="216"/>
      <c r="R668" s="220"/>
      <c r="S668" s="220"/>
      <c r="T668" s="220"/>
      <c r="U668" s="230"/>
      <c r="V668" s="231"/>
      <c r="W668" s="232"/>
      <c r="X668" s="233"/>
      <c r="Y668" s="219"/>
      <c r="Z668" s="219"/>
    </row>
    <row r="669" spans="1:26" ht="15.75" thickBot="1">
      <c r="A669" s="225">
        <v>507</v>
      </c>
      <c r="B669" s="216"/>
      <c r="C669" s="216"/>
      <c r="D669" s="216"/>
      <c r="E669" s="216" t="s">
        <v>1645</v>
      </c>
      <c r="F669" s="226" t="s">
        <v>1646</v>
      </c>
      <c r="G669" s="227"/>
      <c r="H669" s="227"/>
      <c r="I669" s="216"/>
      <c r="J669" s="225">
        <v>2600</v>
      </c>
      <c r="K669" s="228">
        <v>1.3182870370370371E-2</v>
      </c>
      <c r="L669" s="225" t="s">
        <v>1162</v>
      </c>
      <c r="M669" s="219"/>
      <c r="N669" s="219"/>
      <c r="O669" s="216"/>
      <c r="P669" s="216"/>
      <c r="Q669" s="216"/>
      <c r="R669" s="220"/>
      <c r="S669" s="220"/>
      <c r="T669" s="220"/>
      <c r="U669" s="230"/>
      <c r="V669" s="231"/>
      <c r="W669" s="232"/>
      <c r="X669" s="233"/>
      <c r="Y669" s="219"/>
      <c r="Z669" s="219"/>
    </row>
    <row r="670" spans="1:26" ht="15.75" thickBot="1">
      <c r="A670" s="225">
        <v>508</v>
      </c>
      <c r="B670" s="216"/>
      <c r="C670" s="216"/>
      <c r="D670" s="216"/>
      <c r="E670" s="216" t="s">
        <v>1647</v>
      </c>
      <c r="F670" s="226" t="s">
        <v>1648</v>
      </c>
      <c r="G670" s="227"/>
      <c r="H670" s="227"/>
      <c r="I670" s="216"/>
      <c r="J670" s="225">
        <v>473</v>
      </c>
      <c r="K670" s="228">
        <v>6.5277777777777782E-3</v>
      </c>
      <c r="L670" s="225" t="s">
        <v>1162</v>
      </c>
      <c r="M670" s="219"/>
      <c r="N670" s="219"/>
      <c r="O670" s="216"/>
      <c r="P670" s="216"/>
      <c r="Q670" s="216"/>
      <c r="R670" s="220"/>
      <c r="S670" s="220"/>
      <c r="T670" s="220"/>
      <c r="U670" s="230"/>
      <c r="V670" s="231"/>
      <c r="W670" s="232"/>
      <c r="X670" s="233"/>
      <c r="Y670" s="219"/>
      <c r="Z670" s="219"/>
    </row>
    <row r="671" spans="1:26" ht="15.75" thickBot="1">
      <c r="A671" s="225">
        <v>509</v>
      </c>
      <c r="B671" s="216"/>
      <c r="C671" s="216"/>
      <c r="D671" s="216"/>
      <c r="E671" s="216" t="s">
        <v>1649</v>
      </c>
      <c r="F671" s="226" t="s">
        <v>1650</v>
      </c>
      <c r="G671" s="227"/>
      <c r="H671" s="227"/>
      <c r="I671" s="216"/>
      <c r="J671" s="225">
        <v>974</v>
      </c>
      <c r="K671" s="228">
        <v>2.673611111111111E-3</v>
      </c>
      <c r="L671" s="225" t="s">
        <v>1162</v>
      </c>
      <c r="M671" s="219"/>
      <c r="N671" s="219"/>
      <c r="O671" s="216"/>
      <c r="P671" s="216"/>
      <c r="Q671" s="216"/>
      <c r="R671" s="220"/>
      <c r="S671" s="220"/>
      <c r="T671" s="220"/>
      <c r="U671" s="230"/>
      <c r="V671" s="231"/>
      <c r="W671" s="232"/>
      <c r="X671" s="233"/>
      <c r="Y671" s="219"/>
      <c r="Z671" s="219"/>
    </row>
    <row r="672" spans="1:26" ht="15.75" thickBot="1">
      <c r="A672" s="225">
        <v>510</v>
      </c>
      <c r="B672" s="216"/>
      <c r="C672" s="216"/>
      <c r="D672" s="216"/>
      <c r="E672" s="216" t="s">
        <v>1651</v>
      </c>
      <c r="F672" s="226" t="s">
        <v>1652</v>
      </c>
      <c r="G672" s="227"/>
      <c r="H672" s="227"/>
      <c r="I672" s="216"/>
      <c r="J672" s="225">
        <v>437</v>
      </c>
      <c r="K672" s="228">
        <v>1.3194444444444443E-3</v>
      </c>
      <c r="L672" s="225" t="s">
        <v>1162</v>
      </c>
      <c r="M672" s="219"/>
      <c r="N672" s="219"/>
      <c r="O672" s="216"/>
      <c r="P672" s="216"/>
      <c r="Q672" s="216"/>
      <c r="R672" s="220"/>
      <c r="S672" s="220"/>
      <c r="T672" s="220"/>
      <c r="U672" s="230"/>
      <c r="V672" s="231"/>
      <c r="W672" s="232"/>
      <c r="X672" s="233"/>
      <c r="Y672" s="219"/>
      <c r="Z672" s="219"/>
    </row>
    <row r="673" spans="1:26" ht="15.75" thickBot="1">
      <c r="A673" s="225">
        <v>511</v>
      </c>
      <c r="B673" s="216"/>
      <c r="C673" s="216"/>
      <c r="D673" s="216"/>
      <c r="E673" s="216" t="s">
        <v>1653</v>
      </c>
      <c r="F673" s="226" t="s">
        <v>1654</v>
      </c>
      <c r="G673" s="227"/>
      <c r="H673" s="227"/>
      <c r="I673" s="216"/>
      <c r="J673" s="225">
        <v>274</v>
      </c>
      <c r="K673" s="228">
        <v>1.4351851851851854E-3</v>
      </c>
      <c r="L673" s="225" t="s">
        <v>1162</v>
      </c>
      <c r="M673" s="219"/>
      <c r="N673" s="219"/>
      <c r="O673" s="216"/>
      <c r="P673" s="216"/>
      <c r="Q673" s="216"/>
      <c r="R673" s="220"/>
      <c r="S673" s="220"/>
      <c r="T673" s="220"/>
      <c r="U673" s="230"/>
      <c r="V673" s="231"/>
      <c r="W673" s="232"/>
      <c r="X673" s="233"/>
      <c r="Y673" s="219"/>
      <c r="Z673" s="219"/>
    </row>
    <row r="674" spans="1:26" ht="15.75" thickBot="1">
      <c r="A674" s="225">
        <v>512</v>
      </c>
      <c r="B674" s="216"/>
      <c r="C674" s="216"/>
      <c r="D674" s="216"/>
      <c r="E674" s="216" t="s">
        <v>1655</v>
      </c>
      <c r="F674" s="226" t="s">
        <v>1656</v>
      </c>
      <c r="G674" s="227"/>
      <c r="H674" s="227"/>
      <c r="I674" s="216"/>
      <c r="J674" s="225">
        <v>4200</v>
      </c>
      <c r="K674" s="228">
        <v>1.3888888888888889E-3</v>
      </c>
      <c r="L674" s="225" t="s">
        <v>1162</v>
      </c>
      <c r="M674" s="219"/>
      <c r="N674" s="219"/>
      <c r="O674" s="216"/>
      <c r="P674" s="216"/>
      <c r="Q674" s="216"/>
      <c r="R674" s="220"/>
      <c r="S674" s="220"/>
      <c r="T674" s="220"/>
      <c r="U674" s="230"/>
      <c r="V674" s="231"/>
      <c r="W674" s="232"/>
      <c r="X674" s="233"/>
      <c r="Y674" s="219"/>
      <c r="Z674" s="219"/>
    </row>
    <row r="675" spans="1:26" ht="15.75" thickBot="1">
      <c r="A675" s="225">
        <v>513</v>
      </c>
      <c r="B675" s="216"/>
      <c r="C675" s="216"/>
      <c r="D675" s="216"/>
      <c r="E675" s="216" t="s">
        <v>1657</v>
      </c>
      <c r="F675" s="226" t="s">
        <v>1658</v>
      </c>
      <c r="G675" s="227"/>
      <c r="H675" s="227"/>
      <c r="I675" s="216"/>
      <c r="J675" s="225">
        <v>366</v>
      </c>
      <c r="K675" s="228">
        <v>2.1874999999999998E-3</v>
      </c>
      <c r="L675" s="225" t="s">
        <v>1162</v>
      </c>
      <c r="M675" s="219"/>
      <c r="N675" s="219"/>
      <c r="O675" s="216"/>
      <c r="P675" s="216"/>
      <c r="Q675" s="216"/>
      <c r="R675" s="220"/>
      <c r="S675" s="220"/>
      <c r="T675" s="220"/>
      <c r="U675" s="230"/>
      <c r="V675" s="231"/>
      <c r="W675" s="232"/>
      <c r="X675" s="233"/>
      <c r="Y675" s="219"/>
      <c r="Z675" s="219"/>
    </row>
    <row r="676" spans="1:26" ht="15.75" thickBot="1">
      <c r="A676" s="225">
        <v>514</v>
      </c>
      <c r="B676" s="216"/>
      <c r="C676" s="216"/>
      <c r="D676" s="216"/>
      <c r="E676" s="216" t="s">
        <v>1659</v>
      </c>
      <c r="F676" s="226" t="s">
        <v>1660</v>
      </c>
      <c r="G676" s="227"/>
      <c r="H676" s="227"/>
      <c r="I676" s="216"/>
      <c r="J676" s="225">
        <v>277</v>
      </c>
      <c r="K676" s="228">
        <v>2.4189814814814816E-3</v>
      </c>
      <c r="L676" s="225" t="s">
        <v>1162</v>
      </c>
      <c r="M676" s="219"/>
      <c r="N676" s="219"/>
      <c r="O676" s="216"/>
      <c r="P676" s="216"/>
      <c r="Q676" s="216"/>
      <c r="R676" s="220"/>
      <c r="S676" s="220"/>
      <c r="T676" s="220"/>
      <c r="U676" s="230"/>
      <c r="V676" s="231"/>
      <c r="W676" s="232"/>
      <c r="X676" s="233"/>
      <c r="Y676" s="219"/>
      <c r="Z676" s="219"/>
    </row>
    <row r="677" spans="1:26" ht="15.75" thickBot="1">
      <c r="A677" s="225">
        <v>515</v>
      </c>
      <c r="B677" s="216"/>
      <c r="C677" s="216"/>
      <c r="D677" s="216"/>
      <c r="E677" s="216" t="s">
        <v>1661</v>
      </c>
      <c r="F677" s="226" t="s">
        <v>1662</v>
      </c>
      <c r="G677" s="227"/>
      <c r="H677" s="227"/>
      <c r="I677" s="216"/>
      <c r="J677" s="225">
        <v>667</v>
      </c>
      <c r="K677" s="228">
        <v>1.5277777777777779E-3</v>
      </c>
      <c r="L677" s="225" t="s">
        <v>1162</v>
      </c>
      <c r="M677" s="219"/>
      <c r="N677" s="219"/>
      <c r="O677" s="216"/>
      <c r="P677" s="216"/>
      <c r="Q677" s="216"/>
      <c r="R677" s="220"/>
      <c r="S677" s="220"/>
      <c r="T677" s="220"/>
      <c r="U677" s="230"/>
      <c r="V677" s="231"/>
      <c r="W677" s="232"/>
      <c r="X677" s="233"/>
      <c r="Y677" s="219"/>
      <c r="Z677" s="219"/>
    </row>
    <row r="678" spans="1:26" ht="15.75" thickBot="1">
      <c r="A678" s="225">
        <v>516</v>
      </c>
      <c r="B678" s="216"/>
      <c r="C678" s="216"/>
      <c r="D678" s="216"/>
      <c r="E678" s="216" t="s">
        <v>1663</v>
      </c>
      <c r="F678" s="226" t="s">
        <v>1664</v>
      </c>
      <c r="G678" s="227"/>
      <c r="H678" s="227"/>
      <c r="I678" s="216"/>
      <c r="J678" s="225">
        <v>434</v>
      </c>
      <c r="K678" s="228">
        <v>1.3425925925925925E-3</v>
      </c>
      <c r="L678" s="225" t="s">
        <v>1162</v>
      </c>
      <c r="M678" s="219"/>
      <c r="N678" s="219"/>
      <c r="O678" s="216"/>
      <c r="P678" s="216"/>
      <c r="Q678" s="216"/>
      <c r="R678" s="220"/>
      <c r="S678" s="220"/>
      <c r="T678" s="220"/>
      <c r="U678" s="230"/>
      <c r="V678" s="231"/>
      <c r="W678" s="232"/>
      <c r="X678" s="233"/>
      <c r="Y678" s="219"/>
      <c r="Z678" s="219"/>
    </row>
    <row r="679" spans="1:26" ht="15.75" thickBot="1">
      <c r="A679" s="225">
        <v>517</v>
      </c>
      <c r="B679" s="216"/>
      <c r="C679" s="216"/>
      <c r="D679" s="216"/>
      <c r="E679" s="216" t="s">
        <v>1665</v>
      </c>
      <c r="F679" s="226" t="s">
        <v>1666</v>
      </c>
      <c r="G679" s="227"/>
      <c r="H679" s="227"/>
      <c r="I679" s="216"/>
      <c r="J679" s="225">
        <v>556</v>
      </c>
      <c r="K679" s="228">
        <v>2.0370370370370373E-3</v>
      </c>
      <c r="L679" s="225" t="s">
        <v>1162</v>
      </c>
      <c r="M679" s="219"/>
      <c r="N679" s="219"/>
      <c r="O679" s="216"/>
      <c r="P679" s="216"/>
      <c r="Q679" s="216"/>
      <c r="R679" s="220"/>
      <c r="S679" s="220"/>
      <c r="T679" s="220"/>
      <c r="U679" s="230"/>
      <c r="V679" s="231"/>
      <c r="W679" s="232"/>
      <c r="X679" s="233"/>
      <c r="Y679" s="219"/>
      <c r="Z679" s="219"/>
    </row>
    <row r="680" spans="1:26" ht="15.75" thickBot="1">
      <c r="A680" s="225">
        <v>518</v>
      </c>
      <c r="B680" s="216"/>
      <c r="C680" s="216"/>
      <c r="D680" s="216"/>
      <c r="E680" s="216" t="s">
        <v>1667</v>
      </c>
      <c r="F680" s="226" t="s">
        <v>1668</v>
      </c>
      <c r="G680" s="227"/>
      <c r="H680" s="227"/>
      <c r="I680" s="216"/>
      <c r="J680" s="225">
        <v>449</v>
      </c>
      <c r="K680" s="228">
        <v>3.5648148148148154E-3</v>
      </c>
      <c r="L680" s="225" t="s">
        <v>1162</v>
      </c>
      <c r="M680" s="219"/>
      <c r="N680" s="219"/>
      <c r="O680" s="216"/>
      <c r="P680" s="216"/>
      <c r="Q680" s="216"/>
      <c r="R680" s="220"/>
      <c r="S680" s="220"/>
      <c r="T680" s="220"/>
      <c r="U680" s="230"/>
      <c r="V680" s="231"/>
      <c r="W680" s="232"/>
      <c r="X680" s="233"/>
      <c r="Y680" s="219"/>
      <c r="Z680" s="219"/>
    </row>
    <row r="681" spans="1:26" ht="15.75" thickBot="1">
      <c r="A681" s="225">
        <v>519</v>
      </c>
      <c r="B681" s="216"/>
      <c r="C681" s="216"/>
      <c r="D681" s="216"/>
      <c r="E681" s="216" t="s">
        <v>1669</v>
      </c>
      <c r="F681" s="226" t="s">
        <v>1670</v>
      </c>
      <c r="G681" s="227"/>
      <c r="H681" s="227"/>
      <c r="I681" s="216"/>
      <c r="J681" s="225">
        <v>813</v>
      </c>
      <c r="K681" s="228">
        <v>3.1365740740740742E-3</v>
      </c>
      <c r="L681" s="225" t="s">
        <v>1162</v>
      </c>
      <c r="M681" s="219"/>
      <c r="N681" s="219"/>
      <c r="O681" s="216"/>
      <c r="P681" s="216"/>
      <c r="Q681" s="216"/>
      <c r="R681" s="220"/>
      <c r="S681" s="220"/>
      <c r="T681" s="220"/>
      <c r="U681" s="230"/>
      <c r="V681" s="231"/>
      <c r="W681" s="232"/>
      <c r="X681" s="233"/>
      <c r="Y681" s="219"/>
      <c r="Z681" s="219"/>
    </row>
    <row r="682" spans="1:26" ht="15.75" thickBot="1">
      <c r="A682" s="225">
        <v>520</v>
      </c>
      <c r="B682" s="216"/>
      <c r="C682" s="216"/>
      <c r="D682" s="216"/>
      <c r="E682" s="216" t="s">
        <v>1671</v>
      </c>
      <c r="F682" s="226" t="s">
        <v>1672</v>
      </c>
      <c r="G682" s="227"/>
      <c r="H682" s="227"/>
      <c r="I682" s="216"/>
      <c r="J682" s="225">
        <v>1400</v>
      </c>
      <c r="K682" s="228">
        <v>3.4606481481481485E-3</v>
      </c>
      <c r="L682" s="225" t="s">
        <v>1162</v>
      </c>
      <c r="M682" s="219"/>
      <c r="N682" s="219"/>
      <c r="O682" s="216"/>
      <c r="P682" s="216"/>
      <c r="Q682" s="216"/>
      <c r="R682" s="220"/>
      <c r="S682" s="220"/>
      <c r="T682" s="220"/>
      <c r="U682" s="230"/>
      <c r="V682" s="231"/>
      <c r="W682" s="232"/>
      <c r="X682" s="233"/>
      <c r="Y682" s="219"/>
      <c r="Z682" s="219"/>
    </row>
    <row r="683" spans="1:26" ht="15.75" thickBot="1">
      <c r="A683" s="225">
        <v>521</v>
      </c>
      <c r="B683" s="216"/>
      <c r="C683" s="216"/>
      <c r="D683" s="216"/>
      <c r="E683" s="216" t="s">
        <v>1673</v>
      </c>
      <c r="F683" s="226" t="s">
        <v>1674</v>
      </c>
      <c r="G683" s="227"/>
      <c r="H683" s="227"/>
      <c r="I683" s="216"/>
      <c r="J683" s="225">
        <v>343</v>
      </c>
      <c r="K683" s="228">
        <v>7.175925925925927E-4</v>
      </c>
      <c r="L683" s="225" t="s">
        <v>1162</v>
      </c>
      <c r="M683" s="219"/>
      <c r="N683" s="219"/>
      <c r="O683" s="216"/>
      <c r="P683" s="216"/>
      <c r="Q683" s="216"/>
      <c r="R683" s="220"/>
      <c r="S683" s="220"/>
      <c r="T683" s="220"/>
      <c r="U683" s="230"/>
      <c r="V683" s="231"/>
      <c r="W683" s="232"/>
      <c r="X683" s="233"/>
      <c r="Y683" s="219"/>
      <c r="Z683" s="219"/>
    </row>
    <row r="684" spans="1:26" ht="15.75" thickBot="1">
      <c r="A684" s="225">
        <v>522</v>
      </c>
      <c r="B684" s="216"/>
      <c r="C684" s="216"/>
      <c r="D684" s="216"/>
      <c r="E684" s="216" t="s">
        <v>1675</v>
      </c>
      <c r="F684" s="226" t="s">
        <v>1676</v>
      </c>
      <c r="G684" s="227"/>
      <c r="H684" s="227"/>
      <c r="I684" s="216"/>
      <c r="J684" s="225">
        <v>736</v>
      </c>
      <c r="K684" s="228">
        <v>2.4189814814814816E-3</v>
      </c>
      <c r="L684" s="225" t="s">
        <v>1162</v>
      </c>
      <c r="M684" s="219"/>
      <c r="N684" s="219"/>
      <c r="O684" s="216"/>
      <c r="P684" s="216"/>
      <c r="Q684" s="216"/>
      <c r="R684" s="220"/>
      <c r="S684" s="220"/>
      <c r="T684" s="220"/>
      <c r="U684" s="230"/>
      <c r="V684" s="231"/>
      <c r="W684" s="232"/>
      <c r="X684" s="233"/>
      <c r="Y684" s="219"/>
      <c r="Z684" s="219"/>
    </row>
    <row r="685" spans="1:26" ht="15.75" thickBot="1">
      <c r="A685" s="225">
        <v>523</v>
      </c>
      <c r="B685" s="216"/>
      <c r="C685" s="216"/>
      <c r="D685" s="216"/>
      <c r="E685" s="216" t="s">
        <v>1677</v>
      </c>
      <c r="F685" s="226" t="s">
        <v>1678</v>
      </c>
      <c r="G685" s="227"/>
      <c r="H685" s="227"/>
      <c r="I685" s="216"/>
      <c r="J685" s="225">
        <v>2300</v>
      </c>
      <c r="K685" s="228">
        <v>2.4189814814814816E-3</v>
      </c>
      <c r="L685" s="225" t="s">
        <v>1162</v>
      </c>
      <c r="M685" s="219"/>
      <c r="N685" s="219"/>
      <c r="O685" s="216"/>
      <c r="P685" s="216"/>
      <c r="Q685" s="216"/>
      <c r="R685" s="220"/>
      <c r="S685" s="220"/>
      <c r="T685" s="220"/>
      <c r="U685" s="230"/>
      <c r="V685" s="231"/>
      <c r="W685" s="232"/>
      <c r="X685" s="233"/>
      <c r="Y685" s="219"/>
      <c r="Z685" s="219"/>
    </row>
    <row r="686" spans="1:26" ht="15.75" thickBot="1">
      <c r="A686" s="225">
        <v>524</v>
      </c>
      <c r="B686" s="216"/>
      <c r="C686" s="216"/>
      <c r="D686" s="216"/>
      <c r="E686" s="216" t="s">
        <v>1679</v>
      </c>
      <c r="F686" s="226" t="s">
        <v>1680</v>
      </c>
      <c r="G686" s="227"/>
      <c r="H686" s="227"/>
      <c r="I686" s="216"/>
      <c r="J686" s="225">
        <v>4800</v>
      </c>
      <c r="K686" s="228">
        <v>3.1805555555555552E-2</v>
      </c>
      <c r="L686" s="225" t="s">
        <v>1162</v>
      </c>
      <c r="M686" s="219"/>
      <c r="N686" s="219"/>
      <c r="O686" s="216"/>
      <c r="P686" s="216"/>
      <c r="Q686" s="216"/>
      <c r="R686" s="220"/>
      <c r="S686" s="220"/>
      <c r="T686" s="220"/>
      <c r="U686" s="230"/>
      <c r="V686" s="231"/>
      <c r="W686" s="232"/>
      <c r="X686" s="233"/>
      <c r="Y686" s="219"/>
      <c r="Z686" s="219"/>
    </row>
    <row r="687" spans="1:26" ht="15.75" thickBot="1">
      <c r="A687" s="225">
        <v>525</v>
      </c>
      <c r="B687" s="216"/>
      <c r="C687" s="216"/>
      <c r="D687" s="216"/>
      <c r="E687" s="216" t="s">
        <v>1681</v>
      </c>
      <c r="F687" s="226" t="s">
        <v>1682</v>
      </c>
      <c r="G687" s="227"/>
      <c r="H687" s="227"/>
      <c r="I687" s="216"/>
      <c r="J687" s="225">
        <v>2000</v>
      </c>
      <c r="K687" s="228">
        <v>1.9733796296296298E-2</v>
      </c>
      <c r="L687" s="225" t="s">
        <v>1162</v>
      </c>
      <c r="M687" s="219"/>
      <c r="N687" s="219"/>
      <c r="O687" s="216"/>
      <c r="P687" s="216"/>
      <c r="Q687" s="216"/>
      <c r="R687" s="220"/>
      <c r="S687" s="220"/>
      <c r="T687" s="220"/>
      <c r="U687" s="230"/>
      <c r="V687" s="231"/>
      <c r="W687" s="232"/>
      <c r="X687" s="233"/>
      <c r="Y687" s="219"/>
      <c r="Z687" s="219"/>
    </row>
    <row r="688" spans="1:26" ht="15.75" thickBot="1">
      <c r="A688" s="225">
        <v>526</v>
      </c>
      <c r="B688" s="216"/>
      <c r="C688" s="216"/>
      <c r="D688" s="216"/>
      <c r="E688" s="216" t="s">
        <v>1683</v>
      </c>
      <c r="F688" s="226" t="s">
        <v>1684</v>
      </c>
      <c r="G688" s="227"/>
      <c r="H688" s="227"/>
      <c r="I688" s="216"/>
      <c r="J688" s="225">
        <v>1900</v>
      </c>
      <c r="K688" s="228">
        <v>5.162037037037037E-3</v>
      </c>
      <c r="L688" s="225" t="s">
        <v>1162</v>
      </c>
      <c r="M688" s="219"/>
      <c r="N688" s="219"/>
      <c r="O688" s="216"/>
      <c r="P688" s="216"/>
      <c r="Q688" s="216"/>
      <c r="R688" s="220"/>
      <c r="S688" s="220"/>
      <c r="T688" s="220"/>
      <c r="U688" s="230"/>
      <c r="V688" s="231"/>
      <c r="W688" s="232"/>
      <c r="X688" s="233"/>
      <c r="Y688" s="219"/>
      <c r="Z688" s="219"/>
    </row>
    <row r="689" spans="1:26" ht="15.75" thickBot="1">
      <c r="A689" s="225">
        <v>527</v>
      </c>
      <c r="B689" s="216"/>
      <c r="C689" s="216"/>
      <c r="D689" s="216"/>
      <c r="E689" s="216" t="s">
        <v>1685</v>
      </c>
      <c r="F689" s="226" t="s">
        <v>1686</v>
      </c>
      <c r="G689" s="227"/>
      <c r="H689" s="227"/>
      <c r="I689" s="216"/>
      <c r="J689" s="225">
        <v>1400</v>
      </c>
      <c r="K689" s="228">
        <v>1.7071759259259259E-2</v>
      </c>
      <c r="L689" s="225" t="s">
        <v>1162</v>
      </c>
      <c r="M689" s="219"/>
      <c r="N689" s="219"/>
      <c r="O689" s="216"/>
      <c r="P689" s="216"/>
      <c r="Q689" s="216"/>
      <c r="R689" s="220"/>
      <c r="S689" s="220"/>
      <c r="T689" s="220"/>
      <c r="U689" s="230"/>
      <c r="V689" s="231"/>
      <c r="W689" s="232"/>
      <c r="X689" s="233"/>
      <c r="Y689" s="219"/>
      <c r="Z689" s="219"/>
    </row>
    <row r="690" spans="1:26" ht="15.75" thickBot="1">
      <c r="A690" s="225">
        <v>528</v>
      </c>
      <c r="B690" s="216"/>
      <c r="C690" s="216"/>
      <c r="D690" s="216"/>
      <c r="E690" s="216" t="s">
        <v>1687</v>
      </c>
      <c r="F690" s="226" t="s">
        <v>1688</v>
      </c>
      <c r="G690" s="227"/>
      <c r="H690" s="227"/>
      <c r="I690" s="216"/>
      <c r="J690" s="225">
        <v>1000</v>
      </c>
      <c r="K690" s="228">
        <v>1.5960648148148151E-2</v>
      </c>
      <c r="L690" s="225" t="s">
        <v>1162</v>
      </c>
      <c r="M690" s="219"/>
      <c r="N690" s="219"/>
      <c r="O690" s="216"/>
      <c r="P690" s="216"/>
      <c r="Q690" s="216"/>
      <c r="R690" s="220"/>
      <c r="S690" s="220"/>
      <c r="T690" s="220"/>
      <c r="U690" s="230"/>
      <c r="V690" s="231"/>
      <c r="W690" s="232"/>
      <c r="X690" s="233"/>
      <c r="Y690" s="219"/>
      <c r="Z690" s="219"/>
    </row>
    <row r="691" spans="1:26" ht="15.75" thickBot="1">
      <c r="A691" s="225">
        <v>529</v>
      </c>
      <c r="B691" s="216"/>
      <c r="C691" s="216"/>
      <c r="D691" s="216"/>
      <c r="E691" s="216" t="s">
        <v>1689</v>
      </c>
      <c r="F691" s="226" t="s">
        <v>1690</v>
      </c>
      <c r="G691" s="227"/>
      <c r="H691" s="227"/>
      <c r="I691" s="216"/>
      <c r="J691" s="225">
        <v>4900</v>
      </c>
      <c r="K691" s="228">
        <v>1.8032407407407407E-2</v>
      </c>
      <c r="L691" s="225" t="s">
        <v>1162</v>
      </c>
      <c r="M691" s="219"/>
      <c r="N691" s="219"/>
      <c r="O691" s="216"/>
      <c r="P691" s="216"/>
      <c r="Q691" s="216"/>
      <c r="R691" s="220"/>
      <c r="S691" s="220"/>
      <c r="T691" s="220"/>
      <c r="U691" s="230"/>
      <c r="V691" s="231"/>
      <c r="W691" s="232"/>
      <c r="X691" s="233"/>
      <c r="Y691" s="219"/>
      <c r="Z691" s="219"/>
    </row>
    <row r="692" spans="1:26" ht="15.75" thickBot="1">
      <c r="A692" s="225">
        <v>530</v>
      </c>
      <c r="B692" s="216"/>
      <c r="C692" s="216"/>
      <c r="D692" s="216"/>
      <c r="E692" s="216" t="s">
        <v>1691</v>
      </c>
      <c r="F692" s="226" t="s">
        <v>1692</v>
      </c>
      <c r="G692" s="227"/>
      <c r="H692" s="227"/>
      <c r="I692" s="216"/>
      <c r="J692" s="225">
        <v>5200</v>
      </c>
      <c r="K692" s="228">
        <v>1.8055555555555557E-2</v>
      </c>
      <c r="L692" s="225" t="s">
        <v>1162</v>
      </c>
      <c r="M692" s="219"/>
      <c r="N692" s="219"/>
      <c r="O692" s="216"/>
      <c r="P692" s="216"/>
      <c r="Q692" s="216"/>
      <c r="R692" s="220"/>
      <c r="S692" s="220"/>
      <c r="T692" s="220"/>
      <c r="U692" s="230"/>
      <c r="V692" s="231"/>
      <c r="W692" s="232"/>
      <c r="X692" s="233"/>
      <c r="Y692" s="219"/>
      <c r="Z692" s="219"/>
    </row>
    <row r="693" spans="1:26" ht="15.75" thickBot="1">
      <c r="A693" s="225">
        <v>531</v>
      </c>
      <c r="B693" s="216"/>
      <c r="C693" s="216"/>
      <c r="D693" s="216"/>
      <c r="E693" s="216" t="s">
        <v>1693</v>
      </c>
      <c r="F693" s="226" t="s">
        <v>1694</v>
      </c>
      <c r="G693" s="227"/>
      <c r="H693" s="227"/>
      <c r="I693" s="216"/>
      <c r="J693" s="225">
        <v>9200</v>
      </c>
      <c r="K693" s="228">
        <v>1.8171296296296297E-2</v>
      </c>
      <c r="L693" s="225" t="s">
        <v>1162</v>
      </c>
      <c r="M693" s="219"/>
      <c r="N693" s="219"/>
      <c r="O693" s="216"/>
      <c r="P693" s="216"/>
      <c r="Q693" s="216"/>
      <c r="R693" s="220"/>
      <c r="S693" s="220"/>
      <c r="T693" s="220"/>
      <c r="U693" s="230"/>
      <c r="V693" s="231"/>
      <c r="W693" s="232"/>
      <c r="X693" s="233"/>
      <c r="Y693" s="219"/>
      <c r="Z693" s="219"/>
    </row>
    <row r="694" spans="1:26" ht="15.75" thickBot="1">
      <c r="A694" s="225">
        <v>532</v>
      </c>
      <c r="B694" s="216"/>
      <c r="C694" s="216"/>
      <c r="D694" s="216"/>
      <c r="E694" s="216" t="s">
        <v>1695</v>
      </c>
      <c r="F694" s="226" t="s">
        <v>1696</v>
      </c>
      <c r="G694" s="227"/>
      <c r="H694" s="227"/>
      <c r="I694" s="216"/>
      <c r="J694" s="225">
        <v>25000</v>
      </c>
      <c r="K694" s="228">
        <v>2.0787037037037038E-2</v>
      </c>
      <c r="L694" s="225" t="s">
        <v>1162</v>
      </c>
      <c r="M694" s="219"/>
      <c r="N694" s="219"/>
      <c r="O694" s="216"/>
      <c r="P694" s="216"/>
      <c r="Q694" s="216"/>
      <c r="R694" s="220"/>
      <c r="S694" s="220"/>
      <c r="T694" s="220"/>
      <c r="U694" s="230"/>
      <c r="V694" s="231"/>
      <c r="W694" s="232"/>
      <c r="X694" s="233"/>
      <c r="Y694" s="219"/>
      <c r="Z694" s="219"/>
    </row>
    <row r="695" spans="1:26" ht="15.75" thickBot="1">
      <c r="A695" s="225">
        <v>533</v>
      </c>
      <c r="B695" s="216"/>
      <c r="C695" s="216"/>
      <c r="D695" s="216"/>
      <c r="E695" s="216" t="s">
        <v>1697</v>
      </c>
      <c r="F695" s="226" t="s">
        <v>1698</v>
      </c>
      <c r="G695" s="227"/>
      <c r="H695" s="227"/>
      <c r="I695" s="216"/>
      <c r="J695" s="225">
        <v>7400</v>
      </c>
      <c r="K695" s="228">
        <v>2.3032407407407407E-3</v>
      </c>
      <c r="L695" s="225" t="s">
        <v>1162</v>
      </c>
      <c r="M695" s="219"/>
      <c r="N695" s="219"/>
      <c r="O695" s="216"/>
      <c r="P695" s="216"/>
      <c r="Q695" s="216"/>
      <c r="R695" s="220"/>
      <c r="S695" s="220"/>
      <c r="T695" s="220"/>
      <c r="U695" s="230"/>
      <c r="V695" s="231"/>
      <c r="W695" s="232"/>
      <c r="X695" s="233"/>
      <c r="Y695" s="219"/>
      <c r="Z695" s="219"/>
    </row>
    <row r="696" spans="1:26" ht="15.75" thickBot="1">
      <c r="A696" s="225">
        <v>534</v>
      </c>
      <c r="B696" s="216"/>
      <c r="C696" s="216"/>
      <c r="D696" s="216"/>
      <c r="E696" s="216" t="s">
        <v>1699</v>
      </c>
      <c r="F696" s="226" t="s">
        <v>1700</v>
      </c>
      <c r="G696" s="227"/>
      <c r="H696" s="227"/>
      <c r="I696" s="216"/>
      <c r="J696" s="225">
        <v>716</v>
      </c>
      <c r="K696" s="228">
        <v>2.0243055555555552E-2</v>
      </c>
      <c r="L696" s="225" t="s">
        <v>1162</v>
      </c>
      <c r="M696" s="219"/>
      <c r="N696" s="219"/>
      <c r="O696" s="216"/>
      <c r="P696" s="216"/>
      <c r="Q696" s="216"/>
      <c r="R696" s="220"/>
      <c r="S696" s="220"/>
      <c r="T696" s="220"/>
      <c r="U696" s="230"/>
      <c r="V696" s="231"/>
      <c r="W696" s="232"/>
      <c r="X696" s="233"/>
      <c r="Y696" s="219"/>
      <c r="Z696" s="219"/>
    </row>
    <row r="697" spans="1:26" ht="15.75" thickBot="1">
      <c r="A697" s="225">
        <v>535</v>
      </c>
      <c r="B697" s="216"/>
      <c r="C697" s="216"/>
      <c r="D697" s="216"/>
      <c r="E697" s="216" t="s">
        <v>1701</v>
      </c>
      <c r="F697" s="226" t="s">
        <v>1702</v>
      </c>
      <c r="G697" s="227"/>
      <c r="H697" s="227"/>
      <c r="I697" s="216"/>
      <c r="J697" s="225">
        <v>629</v>
      </c>
      <c r="K697" s="228">
        <v>2.0509259259259258E-2</v>
      </c>
      <c r="L697" s="225" t="s">
        <v>1162</v>
      </c>
      <c r="M697" s="219"/>
      <c r="N697" s="219"/>
      <c r="O697" s="216"/>
      <c r="P697" s="216"/>
      <c r="Q697" s="216"/>
      <c r="R697" s="220"/>
      <c r="S697" s="220"/>
      <c r="T697" s="220"/>
      <c r="U697" s="230"/>
      <c r="V697" s="231"/>
      <c r="W697" s="232"/>
      <c r="X697" s="233"/>
      <c r="Y697" s="219"/>
      <c r="Z697" s="219"/>
    </row>
    <row r="698" spans="1:26" ht="15.75" thickBot="1">
      <c r="A698" s="225">
        <v>536</v>
      </c>
      <c r="B698" s="216"/>
      <c r="C698" s="216"/>
      <c r="D698" s="216"/>
      <c r="E698" s="216" t="s">
        <v>1703</v>
      </c>
      <c r="F698" s="226" t="s">
        <v>1704</v>
      </c>
      <c r="G698" s="227"/>
      <c r="H698" s="227"/>
      <c r="I698" s="216"/>
      <c r="J698" s="225">
        <v>858</v>
      </c>
      <c r="K698" s="228">
        <v>2.2939814814814816E-2</v>
      </c>
      <c r="L698" s="225" t="s">
        <v>1162</v>
      </c>
      <c r="M698" s="219"/>
      <c r="N698" s="219"/>
      <c r="O698" s="216"/>
      <c r="P698" s="216"/>
      <c r="Q698" s="216"/>
      <c r="R698" s="220"/>
      <c r="S698" s="220"/>
      <c r="T698" s="220"/>
      <c r="U698" s="230"/>
      <c r="V698" s="231"/>
      <c r="W698" s="232"/>
      <c r="X698" s="233"/>
      <c r="Y698" s="219"/>
      <c r="Z698" s="219"/>
    </row>
    <row r="699" spans="1:26" ht="15.75" thickBot="1">
      <c r="A699" s="225">
        <v>537</v>
      </c>
      <c r="B699" s="216"/>
      <c r="C699" s="216"/>
      <c r="D699" s="216"/>
      <c r="E699" s="216" t="s">
        <v>1705</v>
      </c>
      <c r="F699" s="226" t="s">
        <v>1706</v>
      </c>
      <c r="G699" s="227"/>
      <c r="H699" s="227"/>
      <c r="I699" s="216"/>
      <c r="J699" s="225">
        <v>1000</v>
      </c>
      <c r="K699" s="228">
        <v>2.7986111111111111E-2</v>
      </c>
      <c r="L699" s="225" t="s">
        <v>1162</v>
      </c>
      <c r="M699" s="219"/>
      <c r="N699" s="219"/>
      <c r="O699" s="216"/>
      <c r="P699" s="216"/>
      <c r="Q699" s="216"/>
      <c r="R699" s="220"/>
      <c r="S699" s="220"/>
      <c r="T699" s="220"/>
      <c r="U699" s="230"/>
      <c r="V699" s="231"/>
      <c r="W699" s="232"/>
      <c r="X699" s="233"/>
      <c r="Y699" s="219"/>
      <c r="Z699" s="219"/>
    </row>
    <row r="700" spans="1:26" ht="15.75" thickBot="1">
      <c r="A700" s="225">
        <v>538</v>
      </c>
      <c r="B700" s="216"/>
      <c r="C700" s="216"/>
      <c r="D700" s="216"/>
      <c r="E700" s="216" t="s">
        <v>1707</v>
      </c>
      <c r="F700" s="226" t="s">
        <v>1708</v>
      </c>
      <c r="G700" s="227"/>
      <c r="H700" s="227"/>
      <c r="I700" s="216"/>
      <c r="J700" s="225">
        <v>2600</v>
      </c>
      <c r="K700" s="228">
        <v>1.5011574074074075E-2</v>
      </c>
      <c r="L700" s="225" t="s">
        <v>1162</v>
      </c>
      <c r="M700" s="219"/>
      <c r="N700" s="219"/>
      <c r="O700" s="216"/>
      <c r="P700" s="216"/>
      <c r="Q700" s="216"/>
      <c r="R700" s="220"/>
      <c r="S700" s="220"/>
      <c r="T700" s="220"/>
      <c r="U700" s="230"/>
      <c r="V700" s="231"/>
      <c r="W700" s="232"/>
      <c r="X700" s="233"/>
      <c r="Y700" s="219"/>
      <c r="Z700" s="219"/>
    </row>
    <row r="701" spans="1:26" ht="15.75" thickBot="1">
      <c r="A701" s="225">
        <v>539</v>
      </c>
      <c r="B701" s="216"/>
      <c r="C701" s="216"/>
      <c r="D701" s="216"/>
      <c r="E701" s="216" t="s">
        <v>1709</v>
      </c>
      <c r="F701" s="226" t="s">
        <v>1710</v>
      </c>
      <c r="G701" s="227"/>
      <c r="H701" s="227"/>
      <c r="I701" s="216"/>
      <c r="J701" s="225">
        <v>4600</v>
      </c>
      <c r="K701" s="228">
        <v>2.1550925925925928E-2</v>
      </c>
      <c r="L701" s="225" t="s">
        <v>1162</v>
      </c>
      <c r="M701" s="219"/>
      <c r="N701" s="219"/>
      <c r="O701" s="216"/>
      <c r="P701" s="216"/>
      <c r="Q701" s="216"/>
      <c r="R701" s="220"/>
      <c r="S701" s="220"/>
      <c r="T701" s="220"/>
      <c r="U701" s="230"/>
      <c r="V701" s="231"/>
      <c r="W701" s="232"/>
      <c r="X701" s="233"/>
      <c r="Y701" s="219"/>
      <c r="Z701" s="219"/>
    </row>
    <row r="702" spans="1:26" ht="15.75" thickBot="1">
      <c r="A702" s="225">
        <v>540</v>
      </c>
      <c r="B702" s="216"/>
      <c r="C702" s="216"/>
      <c r="D702" s="216"/>
      <c r="E702" s="216" t="s">
        <v>1711</v>
      </c>
      <c r="F702" s="226" t="s">
        <v>1712</v>
      </c>
      <c r="G702" s="227"/>
      <c r="H702" s="227"/>
      <c r="I702" s="216"/>
      <c r="J702" s="225">
        <v>1900</v>
      </c>
      <c r="K702" s="228">
        <v>2.1331018518518517E-2</v>
      </c>
      <c r="L702" s="225" t="s">
        <v>1162</v>
      </c>
      <c r="M702" s="219"/>
      <c r="N702" s="219"/>
      <c r="O702" s="216"/>
      <c r="P702" s="216"/>
      <c r="Q702" s="216"/>
      <c r="R702" s="220"/>
      <c r="S702" s="220"/>
      <c r="T702" s="220"/>
      <c r="U702" s="230"/>
      <c r="V702" s="231"/>
      <c r="W702" s="232"/>
      <c r="X702" s="233"/>
      <c r="Y702" s="219"/>
      <c r="Z702" s="219"/>
    </row>
    <row r="703" spans="1:26" ht="15.75" thickBot="1">
      <c r="A703" s="225">
        <v>541</v>
      </c>
      <c r="B703" s="216"/>
      <c r="C703" s="216"/>
      <c r="D703" s="216"/>
      <c r="E703" s="216" t="s">
        <v>1713</v>
      </c>
      <c r="F703" s="226" t="s">
        <v>1714</v>
      </c>
      <c r="G703" s="227"/>
      <c r="H703" s="227"/>
      <c r="I703" s="216"/>
      <c r="J703" s="225">
        <v>5600</v>
      </c>
      <c r="K703" s="228">
        <v>8.4490740740740741E-3</v>
      </c>
      <c r="L703" s="225" t="s">
        <v>1162</v>
      </c>
      <c r="M703" s="219"/>
      <c r="N703" s="219"/>
      <c r="O703" s="216"/>
      <c r="P703" s="216"/>
      <c r="Q703" s="216"/>
      <c r="R703" s="220"/>
      <c r="S703" s="220"/>
      <c r="T703" s="220"/>
      <c r="U703" s="230"/>
      <c r="V703" s="231"/>
      <c r="W703" s="232"/>
      <c r="X703" s="233"/>
      <c r="Y703" s="219"/>
      <c r="Z703" s="219"/>
    </row>
    <row r="704" spans="1:26" ht="15.75" thickBot="1">
      <c r="A704" s="225">
        <v>542</v>
      </c>
      <c r="B704" s="216"/>
      <c r="C704" s="216"/>
      <c r="D704" s="216"/>
      <c r="E704" s="216" t="s">
        <v>1715</v>
      </c>
      <c r="F704" s="226" t="s">
        <v>1716</v>
      </c>
      <c r="G704" s="227"/>
      <c r="H704" s="227"/>
      <c r="I704" s="216"/>
      <c r="J704" s="225">
        <v>984</v>
      </c>
      <c r="K704" s="228">
        <v>3.4768518518518525E-2</v>
      </c>
      <c r="L704" s="225" t="s">
        <v>1162</v>
      </c>
      <c r="M704" s="219"/>
      <c r="N704" s="219"/>
      <c r="O704" s="216"/>
      <c r="P704" s="216"/>
      <c r="Q704" s="216"/>
      <c r="R704" s="220"/>
      <c r="S704" s="220"/>
      <c r="T704" s="220"/>
      <c r="U704" s="230"/>
      <c r="V704" s="231"/>
      <c r="W704" s="232"/>
      <c r="X704" s="233"/>
      <c r="Y704" s="219"/>
      <c r="Z704" s="219"/>
    </row>
    <row r="705" spans="1:26" ht="15.75" thickBot="1">
      <c r="A705" s="225">
        <v>543</v>
      </c>
      <c r="B705" s="216"/>
      <c r="C705" s="216"/>
      <c r="D705" s="216"/>
      <c r="E705" s="216" t="s">
        <v>1717</v>
      </c>
      <c r="F705" s="226" t="s">
        <v>1718</v>
      </c>
      <c r="G705" s="227"/>
      <c r="H705" s="227"/>
      <c r="I705" s="216"/>
      <c r="J705" s="225">
        <v>722</v>
      </c>
      <c r="K705" s="228">
        <v>1.5659722222222224E-2</v>
      </c>
      <c r="L705" s="225" t="s">
        <v>1162</v>
      </c>
      <c r="M705" s="219"/>
      <c r="N705" s="219"/>
      <c r="O705" s="216"/>
      <c r="P705" s="216"/>
      <c r="Q705" s="216"/>
      <c r="R705" s="220"/>
      <c r="S705" s="220"/>
      <c r="T705" s="220"/>
      <c r="U705" s="230"/>
      <c r="V705" s="231"/>
      <c r="W705" s="232"/>
      <c r="X705" s="233"/>
      <c r="Y705" s="219"/>
      <c r="Z705" s="219"/>
    </row>
    <row r="706" spans="1:26" ht="15.75" thickBot="1">
      <c r="A706" s="225">
        <v>544</v>
      </c>
      <c r="B706" s="216"/>
      <c r="C706" s="216"/>
      <c r="D706" s="216"/>
      <c r="E706" s="216" t="s">
        <v>1719</v>
      </c>
      <c r="F706" s="226" t="s">
        <v>1720</v>
      </c>
      <c r="G706" s="227"/>
      <c r="H706" s="227"/>
      <c r="I706" s="216"/>
      <c r="J706" s="225">
        <v>4900</v>
      </c>
      <c r="K706" s="228">
        <v>1.0231481481481482E-2</v>
      </c>
      <c r="L706" s="225" t="s">
        <v>1162</v>
      </c>
      <c r="M706" s="219"/>
      <c r="N706" s="219"/>
      <c r="O706" s="216"/>
      <c r="P706" s="216"/>
      <c r="Q706" s="216"/>
      <c r="R706" s="220"/>
      <c r="S706" s="220"/>
      <c r="T706" s="220"/>
      <c r="U706" s="230"/>
      <c r="V706" s="231"/>
      <c r="W706" s="232"/>
      <c r="X706" s="233"/>
      <c r="Y706" s="219"/>
      <c r="Z706" s="219"/>
    </row>
    <row r="707" spans="1:26" ht="15.75" thickBot="1">
      <c r="A707" s="225">
        <v>545</v>
      </c>
      <c r="B707" s="216"/>
      <c r="C707" s="216"/>
      <c r="D707" s="216"/>
      <c r="E707" s="216" t="s">
        <v>1721</v>
      </c>
      <c r="F707" s="226" t="s">
        <v>1722</v>
      </c>
      <c r="G707" s="227"/>
      <c r="H707" s="227"/>
      <c r="I707" s="216"/>
      <c r="J707" s="225">
        <v>1000</v>
      </c>
      <c r="K707" s="228">
        <v>4.2361111111111106E-3</v>
      </c>
      <c r="L707" s="225" t="s">
        <v>1162</v>
      </c>
      <c r="M707" s="219"/>
      <c r="N707" s="219"/>
      <c r="O707" s="216"/>
      <c r="P707" s="216"/>
      <c r="Q707" s="216"/>
      <c r="R707" s="220"/>
      <c r="S707" s="220"/>
      <c r="T707" s="220"/>
      <c r="U707" s="230"/>
      <c r="V707" s="231"/>
      <c r="W707" s="232"/>
      <c r="X707" s="233"/>
      <c r="Y707" s="219"/>
      <c r="Z707" s="219"/>
    </row>
    <row r="708" spans="1:26" ht="15.75" thickBot="1">
      <c r="A708" s="225">
        <v>546</v>
      </c>
      <c r="B708" s="216"/>
      <c r="C708" s="216"/>
      <c r="D708" s="216"/>
      <c r="E708" s="216" t="s">
        <v>1723</v>
      </c>
      <c r="F708" s="226" t="s">
        <v>1724</v>
      </c>
      <c r="G708" s="227"/>
      <c r="H708" s="227"/>
      <c r="I708" s="216"/>
      <c r="J708" s="225">
        <v>3500</v>
      </c>
      <c r="K708" s="228">
        <v>1.3587962962962963E-2</v>
      </c>
      <c r="L708" s="225" t="s">
        <v>1162</v>
      </c>
      <c r="M708" s="219"/>
      <c r="N708" s="219"/>
      <c r="O708" s="216"/>
      <c r="P708" s="216"/>
      <c r="Q708" s="216"/>
      <c r="R708" s="220"/>
      <c r="S708" s="220"/>
      <c r="T708" s="220"/>
      <c r="U708" s="230"/>
      <c r="V708" s="231"/>
      <c r="W708" s="232"/>
      <c r="X708" s="233"/>
      <c r="Y708" s="219"/>
      <c r="Z708" s="219"/>
    </row>
    <row r="709" spans="1:26" ht="15.75" thickBot="1">
      <c r="A709" s="225">
        <v>547</v>
      </c>
      <c r="B709" s="216"/>
      <c r="C709" s="216"/>
      <c r="D709" s="216"/>
      <c r="E709" s="216" t="s">
        <v>1725</v>
      </c>
      <c r="F709" s="226" t="s">
        <v>1726</v>
      </c>
      <c r="G709" s="227"/>
      <c r="H709" s="227"/>
      <c r="I709" s="216"/>
      <c r="J709" s="225">
        <v>1900</v>
      </c>
      <c r="K709" s="228">
        <v>5.8796296296296296E-3</v>
      </c>
      <c r="L709" s="225" t="s">
        <v>1162</v>
      </c>
      <c r="M709" s="219"/>
      <c r="N709" s="219"/>
      <c r="O709" s="216"/>
      <c r="P709" s="216"/>
      <c r="Q709" s="216"/>
      <c r="R709" s="220"/>
      <c r="S709" s="220"/>
      <c r="T709" s="220"/>
      <c r="U709" s="230"/>
      <c r="V709" s="231"/>
      <c r="W709" s="232"/>
      <c r="X709" s="233"/>
      <c r="Y709" s="219"/>
      <c r="Z709" s="219"/>
    </row>
    <row r="710" spans="1:26" ht="15.75" thickBot="1">
      <c r="A710" s="225">
        <v>548</v>
      </c>
      <c r="B710" s="216"/>
      <c r="C710" s="216"/>
      <c r="D710" s="216"/>
      <c r="E710" s="216" t="s">
        <v>1727</v>
      </c>
      <c r="F710" s="226" t="s">
        <v>1728</v>
      </c>
      <c r="G710" s="227"/>
      <c r="H710" s="227"/>
      <c r="I710" s="216"/>
      <c r="J710" s="225">
        <v>1300</v>
      </c>
      <c r="K710" s="228">
        <v>3.9467592592592592E-3</v>
      </c>
      <c r="L710" s="225" t="s">
        <v>1162</v>
      </c>
      <c r="M710" s="219"/>
      <c r="N710" s="219"/>
      <c r="O710" s="216"/>
      <c r="P710" s="216"/>
      <c r="Q710" s="216"/>
      <c r="R710" s="220"/>
      <c r="S710" s="220"/>
      <c r="T710" s="220"/>
      <c r="U710" s="230"/>
      <c r="V710" s="231"/>
      <c r="W710" s="232"/>
      <c r="X710" s="233"/>
      <c r="Y710" s="219"/>
      <c r="Z710" s="219"/>
    </row>
    <row r="711" spans="1:26" ht="15.75" thickBot="1">
      <c r="A711" s="225">
        <v>549</v>
      </c>
      <c r="B711" s="216"/>
      <c r="C711" s="216"/>
      <c r="D711" s="216"/>
      <c r="E711" s="216" t="s">
        <v>1729</v>
      </c>
      <c r="F711" s="226" t="s">
        <v>1730</v>
      </c>
      <c r="G711" s="227"/>
      <c r="H711" s="227"/>
      <c r="I711" s="216"/>
      <c r="J711" s="225">
        <v>1200</v>
      </c>
      <c r="K711" s="228">
        <v>1.5740740740740741E-3</v>
      </c>
      <c r="L711" s="225" t="s">
        <v>1162</v>
      </c>
      <c r="M711" s="219"/>
      <c r="N711" s="219"/>
      <c r="O711" s="216"/>
      <c r="P711" s="216"/>
      <c r="Q711" s="216"/>
      <c r="R711" s="220"/>
      <c r="S711" s="220"/>
      <c r="T711" s="220"/>
      <c r="U711" s="230"/>
      <c r="V711" s="231"/>
      <c r="W711" s="232"/>
      <c r="X711" s="233"/>
      <c r="Y711" s="219"/>
      <c r="Z711" s="219"/>
    </row>
    <row r="712" spans="1:26" ht="15.75" thickBot="1">
      <c r="A712" s="225">
        <v>550</v>
      </c>
      <c r="B712" s="216"/>
      <c r="C712" s="216"/>
      <c r="D712" s="216"/>
      <c r="E712" s="216" t="s">
        <v>1731</v>
      </c>
      <c r="F712" s="226" t="s">
        <v>1732</v>
      </c>
      <c r="G712" s="227"/>
      <c r="H712" s="227"/>
      <c r="I712" s="216"/>
      <c r="J712" s="225">
        <v>4900</v>
      </c>
      <c r="K712" s="228">
        <v>1.4074074074074074E-2</v>
      </c>
      <c r="L712" s="225" t="s">
        <v>1162</v>
      </c>
      <c r="M712" s="219"/>
      <c r="N712" s="219"/>
      <c r="O712" s="216"/>
      <c r="P712" s="216"/>
      <c r="Q712" s="216"/>
      <c r="R712" s="220"/>
      <c r="S712" s="220"/>
      <c r="T712" s="220"/>
      <c r="U712" s="230"/>
      <c r="V712" s="231"/>
      <c r="W712" s="232"/>
      <c r="X712" s="233"/>
      <c r="Y712" s="219"/>
      <c r="Z712" s="219"/>
    </row>
    <row r="713" spans="1:26" ht="15.75" thickBot="1">
      <c r="A713" s="225">
        <v>551</v>
      </c>
      <c r="B713" s="216"/>
      <c r="C713" s="216"/>
      <c r="D713" s="216"/>
      <c r="E713" s="216" t="s">
        <v>1733</v>
      </c>
      <c r="F713" s="226" t="s">
        <v>1734</v>
      </c>
      <c r="G713" s="227"/>
      <c r="H713" s="227"/>
      <c r="I713" s="216"/>
      <c r="J713" s="225">
        <v>62000</v>
      </c>
      <c r="K713" s="228">
        <v>3.9641203703703706E-2</v>
      </c>
      <c r="L713" s="225" t="s">
        <v>1312</v>
      </c>
      <c r="M713" s="219"/>
      <c r="N713" s="219"/>
      <c r="O713" s="216"/>
      <c r="P713" s="216"/>
      <c r="Q713" s="216"/>
      <c r="R713" s="220"/>
      <c r="S713" s="220"/>
      <c r="T713" s="220"/>
      <c r="U713" s="230"/>
      <c r="V713" s="231"/>
      <c r="W713" s="232"/>
      <c r="X713" s="233"/>
      <c r="Y713" s="219"/>
      <c r="Z713" s="219"/>
    </row>
    <row r="714" spans="1:26" ht="15.75" thickBot="1">
      <c r="A714" s="225">
        <v>552</v>
      </c>
      <c r="B714" s="216"/>
      <c r="C714" s="216"/>
      <c r="D714" s="216"/>
      <c r="E714" s="216" t="s">
        <v>1735</v>
      </c>
      <c r="F714" s="226" t="s">
        <v>1736</v>
      </c>
      <c r="G714" s="227"/>
      <c r="H714" s="227"/>
      <c r="I714" s="216"/>
      <c r="J714" s="225">
        <v>7000</v>
      </c>
      <c r="K714" s="228">
        <v>1.9328703703703704E-3</v>
      </c>
      <c r="L714" s="225" t="s">
        <v>1312</v>
      </c>
      <c r="M714" s="219"/>
      <c r="N714" s="219"/>
      <c r="O714" s="216"/>
      <c r="P714" s="216"/>
      <c r="Q714" s="216"/>
      <c r="R714" s="220"/>
      <c r="S714" s="220"/>
      <c r="T714" s="220"/>
      <c r="U714" s="230"/>
      <c r="V714" s="231"/>
      <c r="W714" s="232"/>
      <c r="X714" s="233"/>
      <c r="Y714" s="219"/>
      <c r="Z714" s="219"/>
    </row>
    <row r="715" spans="1:26" ht="15.75" thickBot="1">
      <c r="A715" s="225">
        <v>553</v>
      </c>
      <c r="B715" s="216"/>
      <c r="C715" s="216"/>
      <c r="D715" s="216"/>
      <c r="E715" s="216" t="s">
        <v>1737</v>
      </c>
      <c r="F715" s="226" t="s">
        <v>1738</v>
      </c>
      <c r="G715" s="227"/>
      <c r="H715" s="227"/>
      <c r="I715" s="216"/>
      <c r="J715" s="225">
        <v>1700</v>
      </c>
      <c r="K715" s="228">
        <v>1.8842592592592591E-2</v>
      </c>
      <c r="L715" s="225" t="s">
        <v>1312</v>
      </c>
      <c r="M715" s="219"/>
      <c r="N715" s="219"/>
      <c r="O715" s="216"/>
      <c r="P715" s="216"/>
      <c r="Q715" s="216"/>
      <c r="R715" s="220"/>
      <c r="S715" s="220"/>
      <c r="T715" s="220"/>
      <c r="U715" s="230"/>
      <c r="V715" s="231"/>
      <c r="W715" s="232"/>
      <c r="X715" s="233"/>
      <c r="Y715" s="219"/>
      <c r="Z715" s="219"/>
    </row>
    <row r="716" spans="1:26" ht="15.75" thickBot="1">
      <c r="A716" s="225">
        <v>554</v>
      </c>
      <c r="B716" s="216"/>
      <c r="C716" s="216"/>
      <c r="D716" s="216"/>
      <c r="E716" s="216" t="s">
        <v>1739</v>
      </c>
      <c r="F716" s="226" t="s">
        <v>1740</v>
      </c>
      <c r="G716" s="227"/>
      <c r="H716" s="227"/>
      <c r="I716" s="216"/>
      <c r="J716" s="225">
        <v>2600</v>
      </c>
      <c r="K716" s="228">
        <v>2.4108796296296298E-2</v>
      </c>
      <c r="L716" s="225" t="s">
        <v>1312</v>
      </c>
      <c r="M716" s="219"/>
      <c r="N716" s="219"/>
      <c r="O716" s="216"/>
      <c r="P716" s="216"/>
      <c r="Q716" s="216"/>
      <c r="R716" s="220"/>
      <c r="S716" s="220"/>
      <c r="T716" s="220"/>
      <c r="U716" s="230"/>
      <c r="V716" s="231"/>
      <c r="W716" s="232"/>
      <c r="X716" s="233"/>
      <c r="Y716" s="219"/>
      <c r="Z716" s="219"/>
    </row>
    <row r="717" spans="1:26" ht="15.75" thickBot="1">
      <c r="A717" s="225">
        <v>555</v>
      </c>
      <c r="B717" s="216"/>
      <c r="C717" s="216"/>
      <c r="D717" s="216"/>
      <c r="E717" s="216" t="s">
        <v>1741</v>
      </c>
      <c r="F717" s="226" t="s">
        <v>1742</v>
      </c>
      <c r="G717" s="227"/>
      <c r="H717" s="227"/>
      <c r="I717" s="216"/>
      <c r="J717" s="225">
        <v>868</v>
      </c>
      <c r="K717" s="228">
        <v>1.1423611111111112E-2</v>
      </c>
      <c r="L717" s="225" t="s">
        <v>1312</v>
      </c>
      <c r="M717" s="219"/>
      <c r="N717" s="219"/>
      <c r="O717" s="216"/>
      <c r="P717" s="216"/>
      <c r="Q717" s="216"/>
      <c r="R717" s="220"/>
      <c r="S717" s="220"/>
      <c r="T717" s="220"/>
      <c r="U717" s="230"/>
      <c r="V717" s="231"/>
      <c r="W717" s="232"/>
      <c r="X717" s="233"/>
      <c r="Y717" s="219"/>
      <c r="Z717" s="219"/>
    </row>
    <row r="718" spans="1:26" ht="15.75" thickBot="1">
      <c r="A718" s="225">
        <v>556</v>
      </c>
      <c r="B718" s="216"/>
      <c r="C718" s="216"/>
      <c r="D718" s="216"/>
      <c r="E718" s="216" t="s">
        <v>1743</v>
      </c>
      <c r="F718" s="226" t="s">
        <v>1744</v>
      </c>
      <c r="G718" s="227"/>
      <c r="H718" s="227"/>
      <c r="I718" s="216"/>
      <c r="J718" s="225">
        <v>3700</v>
      </c>
      <c r="K718" s="228">
        <v>6.7870370370370373E-2</v>
      </c>
      <c r="L718" s="225" t="s">
        <v>1312</v>
      </c>
      <c r="M718" s="219"/>
      <c r="N718" s="219"/>
      <c r="O718" s="216"/>
      <c r="P718" s="216"/>
      <c r="Q718" s="216"/>
      <c r="R718" s="220"/>
      <c r="S718" s="220"/>
      <c r="T718" s="220"/>
      <c r="U718" s="230"/>
      <c r="V718" s="231"/>
      <c r="W718" s="232"/>
      <c r="X718" s="233"/>
      <c r="Y718" s="219"/>
      <c r="Z718" s="219"/>
    </row>
    <row r="719" spans="1:26" ht="15.75" thickBot="1">
      <c r="A719" s="225">
        <v>557</v>
      </c>
      <c r="B719" s="216"/>
      <c r="C719" s="216"/>
      <c r="D719" s="216"/>
      <c r="E719" s="216" t="s">
        <v>1745</v>
      </c>
      <c r="F719" s="226" t="s">
        <v>1746</v>
      </c>
      <c r="G719" s="227"/>
      <c r="H719" s="227"/>
      <c r="I719" s="216"/>
      <c r="J719" s="225">
        <v>6400</v>
      </c>
      <c r="K719" s="228">
        <v>4.1689814814814818E-2</v>
      </c>
      <c r="L719" s="225" t="s">
        <v>1312</v>
      </c>
      <c r="M719" s="219"/>
      <c r="N719" s="219"/>
      <c r="O719" s="216"/>
      <c r="P719" s="216"/>
      <c r="Q719" s="216"/>
      <c r="R719" s="220"/>
      <c r="S719" s="220"/>
      <c r="T719" s="220"/>
      <c r="U719" s="230"/>
      <c r="V719" s="231"/>
      <c r="W719" s="232"/>
      <c r="X719" s="233"/>
      <c r="Y719" s="219"/>
      <c r="Z719" s="219"/>
    </row>
    <row r="720" spans="1:26" ht="15.75" thickBot="1">
      <c r="A720" s="225">
        <v>558</v>
      </c>
      <c r="B720" s="216"/>
      <c r="C720" s="216"/>
      <c r="D720" s="216"/>
      <c r="E720" s="216" t="s">
        <v>1747</v>
      </c>
      <c r="F720" s="226" t="s">
        <v>1748</v>
      </c>
      <c r="G720" s="227"/>
      <c r="H720" s="227"/>
      <c r="I720" s="216"/>
      <c r="J720" s="225">
        <v>704</v>
      </c>
      <c r="K720" s="228">
        <v>5.0347222222222225E-3</v>
      </c>
      <c r="L720" s="225" t="s">
        <v>1312</v>
      </c>
      <c r="M720" s="219"/>
      <c r="N720" s="219"/>
      <c r="O720" s="216"/>
      <c r="P720" s="216"/>
      <c r="Q720" s="216"/>
      <c r="R720" s="220"/>
      <c r="S720" s="220"/>
      <c r="T720" s="220"/>
      <c r="U720" s="230"/>
      <c r="V720" s="231"/>
      <c r="W720" s="232"/>
      <c r="X720" s="233"/>
      <c r="Y720" s="219"/>
      <c r="Z720" s="219"/>
    </row>
    <row r="721" spans="1:26" ht="15.75" thickBot="1">
      <c r="A721" s="225">
        <v>559</v>
      </c>
      <c r="B721" s="216"/>
      <c r="C721" s="216"/>
      <c r="D721" s="216"/>
      <c r="E721" s="216" t="s">
        <v>1749</v>
      </c>
      <c r="F721" s="226" t="s">
        <v>1750</v>
      </c>
      <c r="G721" s="227"/>
      <c r="H721" s="227"/>
      <c r="I721" s="216"/>
      <c r="J721" s="225">
        <v>692</v>
      </c>
      <c r="K721" s="228">
        <v>6.4351851851851861E-3</v>
      </c>
      <c r="L721" s="225" t="s">
        <v>1312</v>
      </c>
      <c r="M721" s="219"/>
      <c r="N721" s="219"/>
      <c r="O721" s="216"/>
      <c r="P721" s="216"/>
      <c r="Q721" s="216"/>
      <c r="R721" s="220"/>
      <c r="S721" s="220"/>
      <c r="T721" s="220"/>
      <c r="U721" s="230"/>
      <c r="V721" s="231"/>
      <c r="W721" s="232"/>
      <c r="X721" s="233"/>
      <c r="Y721" s="219"/>
      <c r="Z721" s="219"/>
    </row>
    <row r="722" spans="1:26" ht="15.75" thickBot="1">
      <c r="A722" s="225">
        <v>560</v>
      </c>
      <c r="B722" s="216"/>
      <c r="C722" s="216"/>
      <c r="D722" s="216"/>
      <c r="E722" s="216" t="s">
        <v>1751</v>
      </c>
      <c r="F722" s="226" t="s">
        <v>1752</v>
      </c>
      <c r="G722" s="227"/>
      <c r="H722" s="227"/>
      <c r="I722" s="216"/>
      <c r="J722" s="225">
        <v>3600</v>
      </c>
      <c r="K722" s="228">
        <v>4.4004629629629623E-2</v>
      </c>
      <c r="L722" s="225" t="s">
        <v>1312</v>
      </c>
      <c r="M722" s="219"/>
      <c r="N722" s="219"/>
      <c r="O722" s="216"/>
      <c r="P722" s="216"/>
      <c r="Q722" s="216"/>
      <c r="R722" s="220"/>
      <c r="S722" s="220"/>
      <c r="T722" s="220"/>
      <c r="U722" s="230"/>
      <c r="V722" s="231"/>
      <c r="W722" s="232"/>
      <c r="X722" s="233"/>
      <c r="Y722" s="219"/>
      <c r="Z722" s="219"/>
    </row>
    <row r="723" spans="1:26" ht="15.75" thickBot="1">
      <c r="A723" s="225">
        <v>561</v>
      </c>
      <c r="B723" s="216"/>
      <c r="C723" s="216"/>
      <c r="D723" s="216"/>
      <c r="E723" s="216" t="s">
        <v>1753</v>
      </c>
      <c r="F723" s="226" t="s">
        <v>1754</v>
      </c>
      <c r="G723" s="227"/>
      <c r="H723" s="227"/>
      <c r="I723" s="216"/>
      <c r="J723" s="225">
        <v>3000</v>
      </c>
      <c r="K723" s="228">
        <v>1.1157407407407408E-2</v>
      </c>
      <c r="L723" s="225" t="s">
        <v>1312</v>
      </c>
      <c r="M723" s="219"/>
      <c r="N723" s="219"/>
      <c r="O723" s="216"/>
      <c r="P723" s="216"/>
      <c r="Q723" s="216"/>
      <c r="R723" s="220"/>
      <c r="S723" s="220"/>
      <c r="T723" s="220"/>
      <c r="U723" s="230"/>
      <c r="V723" s="231"/>
      <c r="W723" s="232"/>
      <c r="X723" s="233"/>
      <c r="Y723" s="219"/>
      <c r="Z723" s="219"/>
    </row>
    <row r="724" spans="1:26" ht="15.75" thickBot="1">
      <c r="A724" s="225">
        <v>562</v>
      </c>
      <c r="B724" s="216"/>
      <c r="C724" s="216"/>
      <c r="D724" s="216"/>
      <c r="E724" s="216" t="s">
        <v>1755</v>
      </c>
      <c r="F724" s="226" t="s">
        <v>1756</v>
      </c>
      <c r="G724" s="227"/>
      <c r="H724" s="227"/>
      <c r="I724" s="216"/>
      <c r="J724" s="225">
        <v>953</v>
      </c>
      <c r="K724" s="228">
        <v>1.7037037037037038E-2</v>
      </c>
      <c r="L724" s="225" t="s">
        <v>1312</v>
      </c>
      <c r="M724" s="219"/>
      <c r="N724" s="219"/>
      <c r="O724" s="216"/>
      <c r="P724" s="216"/>
      <c r="Q724" s="216"/>
      <c r="R724" s="220"/>
      <c r="S724" s="220"/>
      <c r="T724" s="220"/>
      <c r="U724" s="230"/>
      <c r="V724" s="231"/>
      <c r="W724" s="232"/>
      <c r="X724" s="233"/>
      <c r="Y724" s="219"/>
      <c r="Z724" s="219"/>
    </row>
    <row r="725" spans="1:26" ht="15.75" thickBot="1">
      <c r="A725" s="225">
        <v>563</v>
      </c>
      <c r="B725" s="216"/>
      <c r="C725" s="216"/>
      <c r="D725" s="216"/>
      <c r="E725" s="216" t="s">
        <v>1757</v>
      </c>
      <c r="F725" s="226" t="s">
        <v>1758</v>
      </c>
      <c r="G725" s="227"/>
      <c r="H725" s="227"/>
      <c r="I725" s="216"/>
      <c r="J725" s="225">
        <v>851</v>
      </c>
      <c r="K725" s="228">
        <v>8.8541666666666664E-3</v>
      </c>
      <c r="L725" s="225" t="s">
        <v>1312</v>
      </c>
      <c r="M725" s="219"/>
      <c r="N725" s="219"/>
      <c r="O725" s="216"/>
      <c r="P725" s="216"/>
      <c r="Q725" s="216"/>
      <c r="R725" s="220"/>
      <c r="S725" s="220"/>
      <c r="T725" s="220"/>
      <c r="U725" s="230"/>
      <c r="V725" s="231"/>
      <c r="W725" s="232"/>
      <c r="X725" s="233"/>
      <c r="Y725" s="219"/>
      <c r="Z725" s="219"/>
    </row>
    <row r="726" spans="1:26" ht="15.75" thickBot="1">
      <c r="A726" s="225">
        <v>564</v>
      </c>
      <c r="B726" s="216"/>
      <c r="C726" s="216"/>
      <c r="D726" s="216"/>
      <c r="E726" s="216" t="s">
        <v>1759</v>
      </c>
      <c r="F726" s="226" t="s">
        <v>1760</v>
      </c>
      <c r="G726" s="227"/>
      <c r="H726" s="227"/>
      <c r="I726" s="216"/>
      <c r="J726" s="225">
        <v>454</v>
      </c>
      <c r="K726" s="228">
        <v>7.0254629629629634E-3</v>
      </c>
      <c r="L726" s="225" t="s">
        <v>1312</v>
      </c>
      <c r="M726" s="219"/>
      <c r="N726" s="219"/>
      <c r="O726" s="216"/>
      <c r="P726" s="216"/>
      <c r="Q726" s="216"/>
      <c r="R726" s="220"/>
      <c r="S726" s="220"/>
      <c r="T726" s="220"/>
      <c r="U726" s="230"/>
      <c r="V726" s="231"/>
      <c r="W726" s="232"/>
      <c r="X726" s="233"/>
      <c r="Y726" s="219"/>
      <c r="Z726" s="219"/>
    </row>
    <row r="727" spans="1:26" ht="15.75" thickBot="1">
      <c r="A727" s="225">
        <v>565</v>
      </c>
      <c r="B727" s="216"/>
      <c r="C727" s="216"/>
      <c r="D727" s="216"/>
      <c r="E727" s="216" t="s">
        <v>1761</v>
      </c>
      <c r="F727" s="226" t="s">
        <v>1762</v>
      </c>
      <c r="G727" s="227"/>
      <c r="H727" s="227"/>
      <c r="I727" s="216"/>
      <c r="J727" s="225">
        <v>979</v>
      </c>
      <c r="K727" s="228">
        <v>9.8495370370370369E-3</v>
      </c>
      <c r="L727" s="225" t="s">
        <v>1312</v>
      </c>
      <c r="M727" s="219"/>
      <c r="N727" s="219"/>
      <c r="O727" s="216"/>
      <c r="P727" s="216"/>
      <c r="Q727" s="216"/>
      <c r="R727" s="220"/>
      <c r="S727" s="220"/>
      <c r="T727" s="220"/>
      <c r="U727" s="230"/>
      <c r="V727" s="231"/>
      <c r="W727" s="232"/>
      <c r="X727" s="233"/>
      <c r="Y727" s="219"/>
      <c r="Z727" s="219"/>
    </row>
    <row r="728" spans="1:26" ht="15.75" thickBot="1">
      <c r="A728" s="225">
        <v>566</v>
      </c>
      <c r="B728" s="216"/>
      <c r="C728" s="216"/>
      <c r="D728" s="216"/>
      <c r="E728" s="216" t="s">
        <v>1763</v>
      </c>
      <c r="F728" s="226" t="s">
        <v>1764</v>
      </c>
      <c r="G728" s="227"/>
      <c r="H728" s="227"/>
      <c r="I728" s="216"/>
      <c r="J728" s="225">
        <v>609</v>
      </c>
      <c r="K728" s="228">
        <v>5.7523148148148143E-3</v>
      </c>
      <c r="L728" s="225" t="s">
        <v>1312</v>
      </c>
      <c r="M728" s="219"/>
      <c r="N728" s="219"/>
      <c r="O728" s="216"/>
      <c r="P728" s="216"/>
      <c r="Q728" s="216"/>
      <c r="R728" s="220"/>
      <c r="S728" s="220"/>
      <c r="T728" s="220"/>
      <c r="U728" s="230"/>
      <c r="V728" s="231"/>
      <c r="W728" s="232"/>
      <c r="X728" s="233"/>
      <c r="Y728" s="219"/>
      <c r="Z728" s="219"/>
    </row>
    <row r="729" spans="1:26" ht="15.75" thickBot="1">
      <c r="A729" s="225">
        <v>567</v>
      </c>
      <c r="B729" s="216"/>
      <c r="C729" s="216"/>
      <c r="D729" s="216"/>
      <c r="E729" s="216" t="s">
        <v>1765</v>
      </c>
      <c r="F729" s="226" t="s">
        <v>1766</v>
      </c>
      <c r="G729" s="227"/>
      <c r="H729" s="227"/>
      <c r="I729" s="216"/>
      <c r="J729" s="225">
        <v>1000</v>
      </c>
      <c r="K729" s="228">
        <v>3.5069444444444445E-3</v>
      </c>
      <c r="L729" s="225" t="s">
        <v>1312</v>
      </c>
      <c r="M729" s="219"/>
      <c r="N729" s="219"/>
      <c r="O729" s="216"/>
      <c r="P729" s="216"/>
      <c r="Q729" s="216"/>
      <c r="R729" s="220"/>
      <c r="S729" s="220"/>
      <c r="T729" s="220"/>
      <c r="U729" s="230"/>
      <c r="V729" s="231"/>
      <c r="W729" s="232"/>
      <c r="X729" s="233"/>
      <c r="Y729" s="219"/>
      <c r="Z729" s="219"/>
    </row>
    <row r="730" spans="1:26" ht="15.75" thickBot="1">
      <c r="A730" s="225">
        <v>568</v>
      </c>
      <c r="B730" s="216"/>
      <c r="C730" s="216"/>
      <c r="D730" s="216"/>
      <c r="E730" s="216" t="s">
        <v>1767</v>
      </c>
      <c r="F730" s="226" t="s">
        <v>1768</v>
      </c>
      <c r="G730" s="227"/>
      <c r="H730" s="227"/>
      <c r="I730" s="216"/>
      <c r="J730" s="225">
        <v>4800</v>
      </c>
      <c r="K730" s="228">
        <v>4.5162037037037035E-2</v>
      </c>
      <c r="L730" s="225" t="s">
        <v>1312</v>
      </c>
      <c r="M730" s="219"/>
      <c r="N730" s="219"/>
      <c r="O730" s="216"/>
      <c r="P730" s="216"/>
      <c r="Q730" s="216"/>
      <c r="R730" s="220"/>
      <c r="S730" s="220"/>
      <c r="T730" s="220"/>
      <c r="U730" s="230"/>
      <c r="V730" s="231"/>
      <c r="W730" s="232"/>
      <c r="X730" s="233"/>
      <c r="Y730" s="219"/>
      <c r="Z730" s="219"/>
    </row>
    <row r="731" spans="1:26" ht="15.75" thickBot="1">
      <c r="A731" s="225">
        <v>569</v>
      </c>
      <c r="B731" s="216"/>
      <c r="C731" s="216"/>
      <c r="D731" s="216"/>
      <c r="E731" s="216" t="s">
        <v>1769</v>
      </c>
      <c r="F731" s="226" t="s">
        <v>1770</v>
      </c>
      <c r="G731" s="227"/>
      <c r="H731" s="227"/>
      <c r="I731" s="216"/>
      <c r="J731" s="225">
        <v>3400</v>
      </c>
      <c r="K731" s="228">
        <v>1.5694444444444445E-2</v>
      </c>
      <c r="L731" s="225" t="s">
        <v>1312</v>
      </c>
      <c r="M731" s="219"/>
      <c r="N731" s="219"/>
      <c r="O731" s="216"/>
      <c r="P731" s="216"/>
      <c r="Q731" s="216"/>
      <c r="R731" s="220"/>
      <c r="S731" s="220"/>
      <c r="T731" s="220"/>
      <c r="U731" s="230"/>
      <c r="V731" s="231"/>
      <c r="W731" s="232"/>
      <c r="X731" s="233"/>
      <c r="Y731" s="219"/>
      <c r="Z731" s="219"/>
    </row>
    <row r="732" spans="1:26" ht="15.75" thickBot="1">
      <c r="A732" s="225">
        <v>570</v>
      </c>
      <c r="B732" s="216"/>
      <c r="C732" s="216"/>
      <c r="D732" s="216"/>
      <c r="E732" s="216" t="s">
        <v>1771</v>
      </c>
      <c r="F732" s="226" t="s">
        <v>1772</v>
      </c>
      <c r="G732" s="227"/>
      <c r="H732" s="227"/>
      <c r="I732" s="216"/>
      <c r="J732" s="225">
        <v>962</v>
      </c>
      <c r="K732" s="228">
        <v>1.6747685185185185E-2</v>
      </c>
      <c r="L732" s="225" t="s">
        <v>1312</v>
      </c>
      <c r="M732" s="219"/>
      <c r="N732" s="219"/>
      <c r="O732" s="216"/>
      <c r="P732" s="216"/>
      <c r="Q732" s="216"/>
      <c r="R732" s="220"/>
      <c r="S732" s="220"/>
      <c r="T732" s="220"/>
      <c r="U732" s="230"/>
      <c r="V732" s="231"/>
      <c r="W732" s="232"/>
      <c r="X732" s="233"/>
      <c r="Y732" s="219"/>
      <c r="Z732" s="219"/>
    </row>
    <row r="733" spans="1:26" ht="15.75" thickBot="1">
      <c r="A733" s="225">
        <v>571</v>
      </c>
      <c r="B733" s="216"/>
      <c r="C733" s="216"/>
      <c r="D733" s="216"/>
      <c r="E733" s="216" t="s">
        <v>1773</v>
      </c>
      <c r="F733" s="226" t="s">
        <v>1774</v>
      </c>
      <c r="G733" s="227"/>
      <c r="H733" s="227"/>
      <c r="I733" s="216"/>
      <c r="J733" s="225">
        <v>2200</v>
      </c>
      <c r="K733" s="228">
        <v>3.4351851851851849E-2</v>
      </c>
      <c r="L733" s="225" t="s">
        <v>1312</v>
      </c>
      <c r="M733" s="219"/>
      <c r="N733" s="219"/>
      <c r="O733" s="216"/>
      <c r="P733" s="216"/>
      <c r="Q733" s="216"/>
      <c r="R733" s="220"/>
      <c r="S733" s="220"/>
      <c r="T733" s="220"/>
      <c r="U733" s="230"/>
      <c r="V733" s="231"/>
      <c r="W733" s="232"/>
      <c r="X733" s="233"/>
      <c r="Y733" s="219"/>
      <c r="Z733" s="219"/>
    </row>
    <row r="734" spans="1:26" ht="15.75" thickBot="1">
      <c r="A734" s="225">
        <v>572</v>
      </c>
      <c r="B734" s="216"/>
      <c r="C734" s="216"/>
      <c r="D734" s="216"/>
      <c r="E734" s="216" t="s">
        <v>1775</v>
      </c>
      <c r="F734" s="226" t="s">
        <v>1776</v>
      </c>
      <c r="G734" s="227"/>
      <c r="H734" s="227"/>
      <c r="I734" s="216"/>
      <c r="J734" s="225">
        <v>641</v>
      </c>
      <c r="K734" s="228">
        <v>6.4699074074074069E-3</v>
      </c>
      <c r="L734" s="225" t="s">
        <v>1312</v>
      </c>
      <c r="M734" s="219"/>
      <c r="N734" s="219"/>
      <c r="O734" s="216"/>
      <c r="P734" s="216"/>
      <c r="Q734" s="216"/>
      <c r="R734" s="220"/>
      <c r="S734" s="220"/>
      <c r="T734" s="220"/>
      <c r="U734" s="230"/>
      <c r="V734" s="231"/>
      <c r="W734" s="232"/>
      <c r="X734" s="233"/>
      <c r="Y734" s="219"/>
      <c r="Z734" s="219"/>
    </row>
    <row r="735" spans="1:26" ht="15.75" thickBot="1">
      <c r="A735" s="225">
        <v>573</v>
      </c>
      <c r="B735" s="216"/>
      <c r="C735" s="216"/>
      <c r="D735" s="216"/>
      <c r="E735" s="216" t="s">
        <v>1777</v>
      </c>
      <c r="F735" s="226" t="s">
        <v>1778</v>
      </c>
      <c r="G735" s="227"/>
      <c r="H735" s="227"/>
      <c r="I735" s="216"/>
      <c r="J735" s="225">
        <v>1100</v>
      </c>
      <c r="K735" s="228">
        <v>2.5000000000000001E-3</v>
      </c>
      <c r="L735" s="225" t="s">
        <v>1312</v>
      </c>
      <c r="M735" s="219"/>
      <c r="N735" s="219"/>
      <c r="O735" s="216"/>
      <c r="P735" s="216"/>
      <c r="Q735" s="216"/>
      <c r="R735" s="220"/>
      <c r="S735" s="220"/>
      <c r="T735" s="220"/>
      <c r="U735" s="230"/>
      <c r="V735" s="231"/>
      <c r="W735" s="232"/>
      <c r="X735" s="233"/>
      <c r="Y735" s="219"/>
      <c r="Z735" s="219"/>
    </row>
    <row r="736" spans="1:26" ht="15.75" thickBot="1">
      <c r="A736" s="225">
        <v>574</v>
      </c>
      <c r="B736" s="216"/>
      <c r="C736" s="216"/>
      <c r="D736" s="216"/>
      <c r="E736" s="216" t="s">
        <v>1779</v>
      </c>
      <c r="F736" s="226" t="s">
        <v>1780</v>
      </c>
      <c r="G736" s="227"/>
      <c r="H736" s="227"/>
      <c r="I736" s="216"/>
      <c r="J736" s="225">
        <v>14000</v>
      </c>
      <c r="K736" s="228">
        <v>2.8460648148148148E-2</v>
      </c>
      <c r="L736" s="225" t="s">
        <v>1781</v>
      </c>
      <c r="M736" s="219"/>
      <c r="N736" s="219"/>
      <c r="O736" s="216"/>
      <c r="P736" s="216"/>
      <c r="Q736" s="216"/>
      <c r="R736" s="220"/>
      <c r="S736" s="220"/>
      <c r="T736" s="220"/>
      <c r="U736" s="230"/>
      <c r="V736" s="231"/>
      <c r="W736" s="232"/>
      <c r="X736" s="233"/>
      <c r="Y736" s="219"/>
      <c r="Z736" s="219"/>
    </row>
    <row r="737" spans="1:26" ht="15.75" thickBot="1">
      <c r="A737" s="225">
        <v>575</v>
      </c>
      <c r="B737" s="216"/>
      <c r="C737" s="216"/>
      <c r="D737" s="216"/>
      <c r="E737" s="216" t="s">
        <v>1782</v>
      </c>
      <c r="F737" s="226" t="s">
        <v>1783</v>
      </c>
      <c r="G737" s="227"/>
      <c r="H737" s="227"/>
      <c r="I737" s="216"/>
      <c r="J737" s="225">
        <v>2700</v>
      </c>
      <c r="K737" s="228">
        <v>1.3287037037037036E-2</v>
      </c>
      <c r="L737" s="225" t="s">
        <v>1781</v>
      </c>
      <c r="M737" s="219"/>
      <c r="N737" s="219"/>
      <c r="O737" s="216"/>
      <c r="P737" s="216"/>
      <c r="Q737" s="216"/>
      <c r="R737" s="220"/>
      <c r="S737" s="220"/>
      <c r="T737" s="220"/>
      <c r="U737" s="230"/>
      <c r="V737" s="231"/>
      <c r="W737" s="232"/>
      <c r="X737" s="233"/>
      <c r="Y737" s="219"/>
      <c r="Z737" s="219"/>
    </row>
    <row r="738" spans="1:26" ht="15.75" thickBot="1">
      <c r="A738" s="225">
        <v>576</v>
      </c>
      <c r="B738" s="216"/>
      <c r="C738" s="216"/>
      <c r="D738" s="216"/>
      <c r="E738" s="216" t="s">
        <v>1784</v>
      </c>
      <c r="F738" s="226" t="s">
        <v>1785</v>
      </c>
      <c r="G738" s="227"/>
      <c r="H738" s="227"/>
      <c r="I738" s="216"/>
      <c r="J738" s="225">
        <v>2400</v>
      </c>
      <c r="K738" s="228">
        <v>2.1909722222222223E-2</v>
      </c>
      <c r="L738" s="225" t="s">
        <v>1781</v>
      </c>
      <c r="M738" s="219"/>
      <c r="N738" s="219"/>
      <c r="O738" s="216"/>
      <c r="P738" s="216"/>
      <c r="Q738" s="216"/>
      <c r="R738" s="220"/>
      <c r="S738" s="220"/>
      <c r="T738" s="220"/>
      <c r="U738" s="230"/>
      <c r="V738" s="231"/>
      <c r="W738" s="232"/>
      <c r="X738" s="233"/>
      <c r="Y738" s="219"/>
      <c r="Z738" s="219"/>
    </row>
    <row r="739" spans="1:26" ht="15.75" thickBot="1">
      <c r="A739" s="225">
        <v>577</v>
      </c>
      <c r="B739" s="216"/>
      <c r="C739" s="216"/>
      <c r="D739" s="216"/>
      <c r="E739" s="216" t="s">
        <v>1786</v>
      </c>
      <c r="F739" s="226" t="s">
        <v>1787</v>
      </c>
      <c r="G739" s="227"/>
      <c r="H739" s="227"/>
      <c r="I739" s="216"/>
      <c r="J739" s="225">
        <v>1300</v>
      </c>
      <c r="K739" s="228">
        <v>2.4537037037037036E-3</v>
      </c>
      <c r="L739" s="225" t="s">
        <v>1781</v>
      </c>
      <c r="M739" s="219"/>
      <c r="N739" s="219"/>
      <c r="O739" s="216"/>
      <c r="P739" s="216"/>
      <c r="Q739" s="216"/>
      <c r="R739" s="220"/>
      <c r="S739" s="220"/>
      <c r="T739" s="220"/>
      <c r="U739" s="230"/>
      <c r="V739" s="231"/>
      <c r="W739" s="232"/>
      <c r="X739" s="233"/>
      <c r="Y739" s="219"/>
      <c r="Z739" s="219"/>
    </row>
    <row r="740" spans="1:26" ht="15.75" thickBot="1">
      <c r="A740" s="225">
        <v>578</v>
      </c>
      <c r="B740" s="216"/>
      <c r="C740" s="216"/>
      <c r="D740" s="216"/>
      <c r="E740" s="216" t="s">
        <v>1788</v>
      </c>
      <c r="F740" s="226" t="s">
        <v>1789</v>
      </c>
      <c r="G740" s="227"/>
      <c r="H740" s="227"/>
      <c r="I740" s="216"/>
      <c r="J740" s="225">
        <v>6500</v>
      </c>
      <c r="K740" s="228">
        <v>2.7986111111111111E-2</v>
      </c>
      <c r="L740" s="225" t="s">
        <v>1781</v>
      </c>
      <c r="M740" s="219"/>
      <c r="N740" s="219"/>
      <c r="O740" s="216"/>
      <c r="P740" s="216"/>
      <c r="Q740" s="216"/>
      <c r="R740" s="220"/>
      <c r="S740" s="220"/>
      <c r="T740" s="220"/>
      <c r="U740" s="230"/>
      <c r="V740" s="231"/>
      <c r="W740" s="232"/>
      <c r="X740" s="233"/>
      <c r="Y740" s="219"/>
      <c r="Z740" s="219"/>
    </row>
    <row r="741" spans="1:26" ht="15.75" thickBot="1">
      <c r="A741" s="225">
        <v>579</v>
      </c>
      <c r="B741" s="216"/>
      <c r="C741" s="216"/>
      <c r="D741" s="216"/>
      <c r="E741" s="216" t="s">
        <v>1790</v>
      </c>
      <c r="F741" s="226" t="s">
        <v>1791</v>
      </c>
      <c r="G741" s="227"/>
      <c r="H741" s="227"/>
      <c r="I741" s="216"/>
      <c r="J741" s="225">
        <v>7900</v>
      </c>
      <c r="K741" s="228">
        <v>4.5439814814814815E-2</v>
      </c>
      <c r="L741" s="225" t="s">
        <v>1781</v>
      </c>
      <c r="M741" s="219"/>
      <c r="N741" s="219"/>
      <c r="O741" s="216"/>
      <c r="P741" s="216"/>
      <c r="Q741" s="216"/>
      <c r="R741" s="220"/>
      <c r="S741" s="220"/>
      <c r="T741" s="220"/>
      <c r="U741" s="230"/>
      <c r="V741" s="231"/>
      <c r="W741" s="232"/>
      <c r="X741" s="233"/>
      <c r="Y741" s="219"/>
      <c r="Z741" s="219"/>
    </row>
    <row r="742" spans="1:26" ht="15.75" thickBot="1">
      <c r="A742" s="225">
        <v>580</v>
      </c>
      <c r="B742" s="216"/>
      <c r="C742" s="216"/>
      <c r="D742" s="216"/>
      <c r="E742" s="216" t="s">
        <v>1792</v>
      </c>
      <c r="F742" s="226" t="s">
        <v>1793</v>
      </c>
      <c r="G742" s="227"/>
      <c r="H742" s="227"/>
      <c r="I742" s="216"/>
      <c r="J742" s="225">
        <v>520</v>
      </c>
      <c r="K742" s="228">
        <v>1.3541666666666667E-3</v>
      </c>
      <c r="L742" s="225" t="s">
        <v>1781</v>
      </c>
      <c r="M742" s="219"/>
      <c r="N742" s="219"/>
      <c r="O742" s="216"/>
      <c r="P742" s="216"/>
      <c r="Q742" s="216"/>
      <c r="R742" s="220"/>
      <c r="S742" s="220"/>
      <c r="T742" s="220"/>
      <c r="U742" s="230"/>
      <c r="V742" s="231"/>
      <c r="W742" s="232"/>
      <c r="X742" s="233"/>
      <c r="Y742" s="219"/>
      <c r="Z742" s="219"/>
    </row>
    <row r="743" spans="1:26" ht="15.75" thickBot="1">
      <c r="A743" s="225">
        <v>581</v>
      </c>
      <c r="B743" s="216"/>
      <c r="C743" s="216"/>
      <c r="D743" s="216"/>
      <c r="E743" s="216" t="s">
        <v>1794</v>
      </c>
      <c r="F743" s="226" t="s">
        <v>1795</v>
      </c>
      <c r="G743" s="227"/>
      <c r="H743" s="227"/>
      <c r="I743" s="216"/>
      <c r="J743" s="225">
        <v>658</v>
      </c>
      <c r="K743" s="228">
        <v>3.8657407407407408E-3</v>
      </c>
      <c r="L743" s="225" t="s">
        <v>1781</v>
      </c>
      <c r="M743" s="219"/>
      <c r="N743" s="219"/>
      <c r="O743" s="216"/>
      <c r="P743" s="216"/>
      <c r="Q743" s="216"/>
      <c r="R743" s="220"/>
      <c r="S743" s="220"/>
      <c r="T743" s="220"/>
      <c r="U743" s="230"/>
      <c r="V743" s="231"/>
      <c r="W743" s="232"/>
      <c r="X743" s="233"/>
      <c r="Y743" s="219"/>
      <c r="Z743" s="219"/>
    </row>
    <row r="744" spans="1:26" ht="15.75" thickBot="1">
      <c r="A744" s="225">
        <v>582</v>
      </c>
      <c r="B744" s="216"/>
      <c r="C744" s="216"/>
      <c r="D744" s="216"/>
      <c r="E744" s="216" t="s">
        <v>1796</v>
      </c>
      <c r="F744" s="226" t="s">
        <v>1797</v>
      </c>
      <c r="G744" s="227"/>
      <c r="H744" s="227"/>
      <c r="I744" s="216"/>
      <c r="J744" s="225">
        <v>457</v>
      </c>
      <c r="K744" s="228">
        <v>2.685185185185185E-3</v>
      </c>
      <c r="L744" s="225" t="s">
        <v>1781</v>
      </c>
      <c r="M744" s="219"/>
      <c r="N744" s="219"/>
      <c r="O744" s="216"/>
      <c r="P744" s="216"/>
      <c r="Q744" s="216"/>
      <c r="R744" s="220"/>
      <c r="S744" s="220"/>
      <c r="T744" s="220"/>
      <c r="U744" s="230"/>
      <c r="V744" s="231"/>
      <c r="W744" s="232"/>
      <c r="X744" s="233"/>
      <c r="Y744" s="219"/>
      <c r="Z744" s="219"/>
    </row>
    <row r="745" spans="1:26" ht="15.75" thickBot="1">
      <c r="A745" s="225">
        <v>583</v>
      </c>
      <c r="B745" s="216"/>
      <c r="C745" s="216"/>
      <c r="D745" s="216"/>
      <c r="E745" s="216" t="s">
        <v>1798</v>
      </c>
      <c r="F745" s="226" t="s">
        <v>1799</v>
      </c>
      <c r="G745" s="227"/>
      <c r="H745" s="227"/>
      <c r="I745" s="216"/>
      <c r="J745" s="225">
        <v>689</v>
      </c>
      <c r="K745" s="228">
        <v>1.4583333333333334E-3</v>
      </c>
      <c r="L745" s="225" t="s">
        <v>1781</v>
      </c>
      <c r="M745" s="219"/>
      <c r="N745" s="219"/>
      <c r="O745" s="216"/>
      <c r="P745" s="216"/>
      <c r="Q745" s="216"/>
      <c r="R745" s="220"/>
      <c r="S745" s="220"/>
      <c r="T745" s="220"/>
      <c r="U745" s="230"/>
      <c r="V745" s="231"/>
      <c r="W745" s="232"/>
      <c r="X745" s="233"/>
      <c r="Y745" s="219"/>
      <c r="Z745" s="219"/>
    </row>
    <row r="746" spans="1:26" ht="15.75" thickBot="1">
      <c r="A746" s="225">
        <v>584</v>
      </c>
      <c r="B746" s="216"/>
      <c r="C746" s="216"/>
      <c r="D746" s="216"/>
      <c r="E746" s="216" t="s">
        <v>1800</v>
      </c>
      <c r="F746" s="226" t="s">
        <v>1801</v>
      </c>
      <c r="G746" s="227"/>
      <c r="H746" s="227"/>
      <c r="I746" s="216"/>
      <c r="J746" s="225">
        <v>422</v>
      </c>
      <c r="K746" s="228">
        <v>2.627314814814815E-3</v>
      </c>
      <c r="L746" s="225" t="s">
        <v>1781</v>
      </c>
      <c r="M746" s="219"/>
      <c r="N746" s="219"/>
      <c r="O746" s="216"/>
      <c r="P746" s="216"/>
      <c r="Q746" s="216"/>
      <c r="R746" s="220"/>
      <c r="S746" s="220"/>
      <c r="T746" s="220"/>
      <c r="U746" s="230"/>
      <c r="V746" s="231"/>
      <c r="W746" s="232"/>
      <c r="X746" s="233"/>
      <c r="Y746" s="219"/>
      <c r="Z746" s="219"/>
    </row>
    <row r="747" spans="1:26" ht="15.75" thickBot="1">
      <c r="A747" s="225">
        <v>585</v>
      </c>
      <c r="B747" s="216"/>
      <c r="C747" s="216"/>
      <c r="D747" s="216"/>
      <c r="E747" s="216" t="s">
        <v>1802</v>
      </c>
      <c r="F747" s="226" t="s">
        <v>1803</v>
      </c>
      <c r="G747" s="227"/>
      <c r="H747" s="227"/>
      <c r="I747" s="216"/>
      <c r="J747" s="225">
        <v>393</v>
      </c>
      <c r="K747" s="228">
        <v>2.0486111111111113E-3</v>
      </c>
      <c r="L747" s="225" t="s">
        <v>1781</v>
      </c>
      <c r="M747" s="219"/>
      <c r="N747" s="219"/>
      <c r="O747" s="216"/>
      <c r="P747" s="216"/>
      <c r="Q747" s="216"/>
      <c r="R747" s="220"/>
      <c r="S747" s="220"/>
      <c r="T747" s="220"/>
      <c r="U747" s="230"/>
      <c r="V747" s="231"/>
      <c r="W747" s="232"/>
      <c r="X747" s="233"/>
      <c r="Y747" s="219"/>
      <c r="Z747" s="219"/>
    </row>
    <row r="748" spans="1:26" ht="15.75" thickBot="1">
      <c r="A748" s="225">
        <v>586</v>
      </c>
      <c r="B748" s="216"/>
      <c r="C748" s="216"/>
      <c r="D748" s="216"/>
      <c r="E748" s="216" t="s">
        <v>1804</v>
      </c>
      <c r="F748" s="226" t="s">
        <v>1805</v>
      </c>
      <c r="G748" s="227"/>
      <c r="H748" s="227"/>
      <c r="I748" s="216"/>
      <c r="J748" s="225">
        <v>397</v>
      </c>
      <c r="K748" s="228">
        <v>2.0138888888888888E-3</v>
      </c>
      <c r="L748" s="225" t="s">
        <v>1781</v>
      </c>
      <c r="M748" s="219"/>
      <c r="N748" s="219"/>
      <c r="O748" s="216"/>
      <c r="P748" s="216"/>
      <c r="Q748" s="216"/>
      <c r="R748" s="220"/>
      <c r="S748" s="220"/>
      <c r="T748" s="220"/>
      <c r="U748" s="230"/>
      <c r="V748" s="231"/>
      <c r="W748" s="232"/>
      <c r="X748" s="233"/>
      <c r="Y748" s="219"/>
      <c r="Z748" s="219"/>
    </row>
    <row r="749" spans="1:26" ht="15.75" thickBot="1">
      <c r="A749" s="225">
        <v>587</v>
      </c>
      <c r="B749" s="216"/>
      <c r="C749" s="216"/>
      <c r="D749" s="216"/>
      <c r="E749" s="216" t="s">
        <v>1806</v>
      </c>
      <c r="F749" s="226" t="s">
        <v>1807</v>
      </c>
      <c r="G749" s="227"/>
      <c r="H749" s="227"/>
      <c r="I749" s="216"/>
      <c r="J749" s="225">
        <v>1000</v>
      </c>
      <c r="K749" s="228">
        <v>1.6666666666666668E-3</v>
      </c>
      <c r="L749" s="225" t="s">
        <v>1781</v>
      </c>
      <c r="M749" s="219"/>
      <c r="N749" s="219"/>
      <c r="O749" s="216"/>
      <c r="P749" s="216"/>
      <c r="Q749" s="216"/>
      <c r="R749" s="220"/>
      <c r="S749" s="220"/>
      <c r="T749" s="220"/>
      <c r="U749" s="230"/>
      <c r="V749" s="231"/>
      <c r="W749" s="232"/>
      <c r="X749" s="233"/>
      <c r="Y749" s="219"/>
      <c r="Z749" s="219"/>
    </row>
    <row r="750" spans="1:26" ht="15.75" thickBot="1">
      <c r="A750" s="225">
        <v>588</v>
      </c>
      <c r="B750" s="216"/>
      <c r="C750" s="216"/>
      <c r="D750" s="216"/>
      <c r="E750" s="216" t="s">
        <v>1808</v>
      </c>
      <c r="F750" s="226" t="s">
        <v>1809</v>
      </c>
      <c r="G750" s="227"/>
      <c r="H750" s="227"/>
      <c r="I750" s="216"/>
      <c r="J750" s="225">
        <v>506</v>
      </c>
      <c r="K750" s="228">
        <v>2.9166666666666668E-3</v>
      </c>
      <c r="L750" s="225" t="s">
        <v>1781</v>
      </c>
      <c r="M750" s="219"/>
      <c r="N750" s="219"/>
      <c r="O750" s="216"/>
      <c r="P750" s="216"/>
      <c r="Q750" s="216"/>
      <c r="R750" s="220"/>
      <c r="S750" s="220"/>
      <c r="T750" s="220"/>
      <c r="U750" s="230"/>
      <c r="V750" s="231"/>
      <c r="W750" s="232"/>
      <c r="X750" s="233"/>
      <c r="Y750" s="219"/>
      <c r="Z750" s="219"/>
    </row>
    <row r="751" spans="1:26" ht="15.75" thickBot="1">
      <c r="A751" s="225">
        <v>589</v>
      </c>
      <c r="B751" s="216"/>
      <c r="C751" s="216"/>
      <c r="D751" s="216"/>
      <c r="E751" s="216" t="s">
        <v>1810</v>
      </c>
      <c r="F751" s="226" t="s">
        <v>1811</v>
      </c>
      <c r="G751" s="227"/>
      <c r="H751" s="227"/>
      <c r="I751" s="216"/>
      <c r="J751" s="225">
        <v>25000</v>
      </c>
      <c r="K751" s="228">
        <v>6.9039351851851852E-2</v>
      </c>
      <c r="L751" s="225" t="s">
        <v>1781</v>
      </c>
      <c r="M751" s="219"/>
      <c r="N751" s="219"/>
      <c r="O751" s="216"/>
      <c r="P751" s="216"/>
      <c r="Q751" s="216"/>
      <c r="R751" s="220"/>
      <c r="S751" s="220"/>
      <c r="T751" s="220"/>
      <c r="U751" s="230"/>
      <c r="V751" s="231"/>
      <c r="W751" s="232"/>
      <c r="X751" s="233"/>
      <c r="Y751" s="219"/>
      <c r="Z751" s="219"/>
    </row>
    <row r="752" spans="1:26" ht="15.75" thickBot="1">
      <c r="A752" s="225">
        <v>590</v>
      </c>
      <c r="B752" s="216"/>
      <c r="C752" s="216"/>
      <c r="D752" s="216"/>
      <c r="E752" s="216" t="s">
        <v>1812</v>
      </c>
      <c r="F752" s="226" t="s">
        <v>1813</v>
      </c>
      <c r="G752" s="227"/>
      <c r="H752" s="227"/>
      <c r="I752" s="216"/>
      <c r="J752" s="225">
        <v>922</v>
      </c>
      <c r="K752" s="228">
        <v>3.7962962962962963E-3</v>
      </c>
      <c r="L752" s="225" t="s">
        <v>1781</v>
      </c>
      <c r="M752" s="219"/>
      <c r="N752" s="219"/>
      <c r="O752" s="216"/>
      <c r="P752" s="216"/>
      <c r="Q752" s="216"/>
      <c r="R752" s="220"/>
      <c r="S752" s="220"/>
      <c r="T752" s="220"/>
      <c r="U752" s="230"/>
      <c r="V752" s="231"/>
      <c r="W752" s="232"/>
      <c r="X752" s="233"/>
      <c r="Y752" s="219"/>
      <c r="Z752" s="219"/>
    </row>
    <row r="753" spans="1:26" ht="15.75" thickBot="1">
      <c r="A753" s="225">
        <v>591</v>
      </c>
      <c r="B753" s="216"/>
      <c r="C753" s="216"/>
      <c r="D753" s="216"/>
      <c r="E753" s="216" t="s">
        <v>1814</v>
      </c>
      <c r="F753" s="226" t="s">
        <v>1815</v>
      </c>
      <c r="G753" s="227"/>
      <c r="H753" s="227"/>
      <c r="I753" s="216"/>
      <c r="J753" s="225">
        <v>931</v>
      </c>
      <c r="K753" s="228">
        <v>3.7152777777777774E-3</v>
      </c>
      <c r="L753" s="225" t="s">
        <v>1816</v>
      </c>
      <c r="M753" s="219"/>
      <c r="N753" s="219"/>
      <c r="O753" s="216"/>
      <c r="P753" s="216"/>
      <c r="Q753" s="216"/>
      <c r="R753" s="220"/>
      <c r="S753" s="220"/>
      <c r="T753" s="220"/>
      <c r="U753" s="230"/>
      <c r="V753" s="231"/>
      <c r="W753" s="232"/>
      <c r="X753" s="233"/>
      <c r="Y753" s="219"/>
      <c r="Z753" s="219"/>
    </row>
    <row r="754" spans="1:26" ht="15.75" thickBot="1">
      <c r="A754" s="225">
        <v>592</v>
      </c>
      <c r="B754" s="216"/>
      <c r="C754" s="216"/>
      <c r="D754" s="216"/>
      <c r="E754" s="216" t="s">
        <v>1817</v>
      </c>
      <c r="F754" s="226" t="s">
        <v>1818</v>
      </c>
      <c r="G754" s="227"/>
      <c r="H754" s="227"/>
      <c r="I754" s="216"/>
      <c r="J754" s="225">
        <v>799</v>
      </c>
      <c r="K754" s="228">
        <v>2.7777777777777779E-3</v>
      </c>
      <c r="L754" s="225" t="s">
        <v>1816</v>
      </c>
      <c r="M754" s="219"/>
      <c r="N754" s="219"/>
      <c r="O754" s="216"/>
      <c r="P754" s="216"/>
      <c r="Q754" s="216"/>
      <c r="R754" s="220"/>
      <c r="S754" s="220"/>
      <c r="T754" s="220"/>
      <c r="U754" s="230"/>
      <c r="V754" s="231"/>
      <c r="W754" s="232"/>
      <c r="X754" s="233"/>
      <c r="Y754" s="219"/>
      <c r="Z754" s="219"/>
    </row>
    <row r="755" spans="1:26" ht="15.75" thickBot="1">
      <c r="A755" s="225">
        <v>593</v>
      </c>
      <c r="B755" s="216"/>
      <c r="C755" s="216"/>
      <c r="D755" s="216"/>
      <c r="E755" s="216" t="s">
        <v>1819</v>
      </c>
      <c r="F755" s="226" t="s">
        <v>1820</v>
      </c>
      <c r="G755" s="227"/>
      <c r="H755" s="227"/>
      <c r="I755" s="216"/>
      <c r="J755" s="225">
        <v>783</v>
      </c>
      <c r="K755" s="228">
        <v>3.7268518518518514E-3</v>
      </c>
      <c r="L755" s="225" t="s">
        <v>1816</v>
      </c>
      <c r="M755" s="219"/>
      <c r="N755" s="219"/>
      <c r="O755" s="216"/>
      <c r="P755" s="216"/>
      <c r="Q755" s="216"/>
      <c r="R755" s="220"/>
      <c r="S755" s="220"/>
      <c r="T755" s="220"/>
      <c r="U755" s="230"/>
      <c r="V755" s="231"/>
      <c r="W755" s="232"/>
      <c r="X755" s="233"/>
      <c r="Y755" s="219"/>
      <c r="Z755" s="219"/>
    </row>
    <row r="756" spans="1:26" ht="15.75" thickBot="1">
      <c r="A756" s="225">
        <v>594</v>
      </c>
      <c r="B756" s="216"/>
      <c r="C756" s="216"/>
      <c r="D756" s="216"/>
      <c r="E756" s="216" t="s">
        <v>1821</v>
      </c>
      <c r="F756" s="226" t="s">
        <v>1822</v>
      </c>
      <c r="G756" s="227"/>
      <c r="H756" s="227"/>
      <c r="I756" s="216"/>
      <c r="J756" s="225">
        <v>1000</v>
      </c>
      <c r="K756" s="228">
        <v>1.0891203703703703E-2</v>
      </c>
      <c r="L756" s="225" t="s">
        <v>1816</v>
      </c>
      <c r="M756" s="219"/>
      <c r="N756" s="219"/>
      <c r="O756" s="216"/>
      <c r="P756" s="216"/>
      <c r="Q756" s="216"/>
      <c r="R756" s="220"/>
      <c r="S756" s="220"/>
      <c r="T756" s="220"/>
      <c r="U756" s="230"/>
      <c r="V756" s="231"/>
      <c r="W756" s="232"/>
      <c r="X756" s="233"/>
      <c r="Y756" s="219"/>
      <c r="Z756" s="219"/>
    </row>
    <row r="757" spans="1:26" ht="15.75" thickBot="1">
      <c r="A757" s="225">
        <v>595</v>
      </c>
      <c r="B757" s="216"/>
      <c r="C757" s="216"/>
      <c r="D757" s="216"/>
      <c r="E757" s="216" t="s">
        <v>1823</v>
      </c>
      <c r="F757" s="226" t="s">
        <v>1824</v>
      </c>
      <c r="G757" s="227"/>
      <c r="H757" s="227"/>
      <c r="I757" s="216"/>
      <c r="J757" s="225">
        <v>13000</v>
      </c>
      <c r="K757" s="228">
        <v>1.2939814814814814E-2</v>
      </c>
      <c r="L757" s="225" t="s">
        <v>1816</v>
      </c>
      <c r="M757" s="219"/>
      <c r="N757" s="219"/>
      <c r="O757" s="216"/>
      <c r="P757" s="216"/>
      <c r="Q757" s="216"/>
      <c r="R757" s="220"/>
      <c r="S757" s="220"/>
      <c r="T757" s="220"/>
      <c r="U757" s="230"/>
      <c r="V757" s="231"/>
      <c r="W757" s="232"/>
      <c r="X757" s="233"/>
      <c r="Y757" s="219"/>
      <c r="Z757" s="219"/>
    </row>
    <row r="758" spans="1:26" ht="15.75" thickBot="1">
      <c r="A758" s="225">
        <v>596</v>
      </c>
      <c r="B758" s="216"/>
      <c r="C758" s="216"/>
      <c r="D758" s="216"/>
      <c r="E758" s="216" t="s">
        <v>1825</v>
      </c>
      <c r="F758" s="226" t="s">
        <v>1826</v>
      </c>
      <c r="G758" s="227"/>
      <c r="H758" s="227"/>
      <c r="I758" s="216"/>
      <c r="J758" s="225">
        <v>20000</v>
      </c>
      <c r="K758" s="228">
        <v>2.989583333333333E-2</v>
      </c>
      <c r="L758" s="225" t="s">
        <v>1816</v>
      </c>
      <c r="M758" s="219"/>
      <c r="N758" s="219"/>
      <c r="O758" s="216"/>
      <c r="P758" s="216"/>
      <c r="Q758" s="216"/>
      <c r="R758" s="220"/>
      <c r="S758" s="220"/>
      <c r="T758" s="220"/>
      <c r="U758" s="230"/>
      <c r="V758" s="231"/>
      <c r="W758" s="232"/>
      <c r="X758" s="233"/>
      <c r="Y758" s="219"/>
      <c r="Z758" s="219"/>
    </row>
    <row r="759" spans="1:26" ht="15.75" thickBot="1">
      <c r="A759" s="225">
        <v>597</v>
      </c>
      <c r="B759" s="216"/>
      <c r="C759" s="216"/>
      <c r="D759" s="216"/>
      <c r="E759" s="216" t="s">
        <v>1827</v>
      </c>
      <c r="F759" s="226" t="s">
        <v>1828</v>
      </c>
      <c r="G759" s="227"/>
      <c r="H759" s="227"/>
      <c r="I759" s="216"/>
      <c r="J759" s="225">
        <v>5600</v>
      </c>
      <c r="K759" s="228">
        <v>1.7349537037037038E-2</v>
      </c>
      <c r="L759" s="225" t="s">
        <v>1816</v>
      </c>
      <c r="M759" s="219"/>
      <c r="N759" s="219"/>
      <c r="O759" s="216"/>
      <c r="P759" s="216"/>
      <c r="Q759" s="216"/>
      <c r="R759" s="220"/>
      <c r="S759" s="220"/>
      <c r="T759" s="220"/>
      <c r="U759" s="230"/>
      <c r="V759" s="231"/>
      <c r="W759" s="232"/>
      <c r="X759" s="233"/>
      <c r="Y759" s="219"/>
      <c r="Z759" s="219"/>
    </row>
    <row r="760" spans="1:26" ht="15.75" thickBot="1">
      <c r="A760" s="225">
        <v>598</v>
      </c>
      <c r="B760" s="216"/>
      <c r="C760" s="216"/>
      <c r="D760" s="216"/>
      <c r="E760" s="216" t="s">
        <v>1829</v>
      </c>
      <c r="F760" s="226" t="s">
        <v>1830</v>
      </c>
      <c r="G760" s="227"/>
      <c r="H760" s="227"/>
      <c r="I760" s="216"/>
      <c r="J760" s="225">
        <v>909</v>
      </c>
      <c r="K760" s="228">
        <v>4.9305555555555552E-3</v>
      </c>
      <c r="L760" s="225" t="s">
        <v>1816</v>
      </c>
      <c r="M760" s="219"/>
      <c r="N760" s="219"/>
      <c r="O760" s="216"/>
      <c r="P760" s="216"/>
      <c r="Q760" s="216"/>
      <c r="R760" s="220"/>
      <c r="S760" s="220"/>
      <c r="T760" s="220"/>
      <c r="U760" s="230"/>
      <c r="V760" s="231"/>
      <c r="W760" s="232"/>
      <c r="X760" s="233"/>
      <c r="Y760" s="219"/>
      <c r="Z760" s="219"/>
    </row>
    <row r="761" spans="1:26" ht="15.75" thickBot="1">
      <c r="A761" s="225">
        <v>599</v>
      </c>
      <c r="B761" s="216"/>
      <c r="C761" s="216"/>
      <c r="D761" s="216"/>
      <c r="E761" s="216" t="s">
        <v>1831</v>
      </c>
      <c r="F761" s="226" t="s">
        <v>1832</v>
      </c>
      <c r="G761" s="227"/>
      <c r="H761" s="227"/>
      <c r="I761" s="216"/>
      <c r="J761" s="225">
        <v>366</v>
      </c>
      <c r="K761" s="228">
        <v>3.9699074074074072E-3</v>
      </c>
      <c r="L761" s="225" t="s">
        <v>1816</v>
      </c>
      <c r="M761" s="219"/>
      <c r="N761" s="219"/>
      <c r="O761" s="216"/>
      <c r="P761" s="216"/>
      <c r="Q761" s="216"/>
      <c r="R761" s="220"/>
      <c r="S761" s="220"/>
      <c r="T761" s="220"/>
      <c r="U761" s="230"/>
      <c r="V761" s="231"/>
      <c r="W761" s="232"/>
      <c r="X761" s="233"/>
      <c r="Y761" s="219"/>
      <c r="Z761" s="219"/>
    </row>
    <row r="762" spans="1:26" ht="15.75" thickBot="1">
      <c r="A762" s="225">
        <v>600</v>
      </c>
      <c r="B762" s="216"/>
      <c r="C762" s="216"/>
      <c r="D762" s="216"/>
      <c r="E762" s="216" t="s">
        <v>1833</v>
      </c>
      <c r="F762" s="226" t="s">
        <v>1834</v>
      </c>
      <c r="G762" s="227"/>
      <c r="H762" s="227"/>
      <c r="I762" s="216"/>
      <c r="J762" s="225">
        <v>559</v>
      </c>
      <c r="K762" s="228">
        <v>1.8287037037037037E-3</v>
      </c>
      <c r="L762" s="225" t="s">
        <v>1816</v>
      </c>
      <c r="M762" s="219"/>
      <c r="N762" s="219"/>
      <c r="O762" s="216"/>
      <c r="P762" s="216"/>
      <c r="Q762" s="216"/>
      <c r="R762" s="220"/>
      <c r="S762" s="220"/>
      <c r="T762" s="220"/>
      <c r="U762" s="230"/>
      <c r="V762" s="231"/>
      <c r="W762" s="232"/>
      <c r="X762" s="233"/>
      <c r="Y762" s="219"/>
      <c r="Z762" s="219"/>
    </row>
    <row r="763" spans="1:26" ht="15.75" thickBot="1">
      <c r="A763" s="225">
        <v>601</v>
      </c>
      <c r="B763" s="216"/>
      <c r="C763" s="216"/>
      <c r="D763" s="216"/>
      <c r="E763" s="216" t="s">
        <v>1835</v>
      </c>
      <c r="F763" s="226" t="s">
        <v>1836</v>
      </c>
      <c r="G763" s="227"/>
      <c r="H763" s="227"/>
      <c r="I763" s="216"/>
      <c r="J763" s="225">
        <v>511</v>
      </c>
      <c r="K763" s="228">
        <v>1.7824074074074072E-3</v>
      </c>
      <c r="L763" s="225" t="s">
        <v>1816</v>
      </c>
      <c r="M763" s="219"/>
      <c r="N763" s="219"/>
      <c r="O763" s="216"/>
      <c r="P763" s="216"/>
      <c r="Q763" s="216"/>
      <c r="R763" s="220"/>
      <c r="S763" s="220"/>
      <c r="T763" s="220"/>
      <c r="U763" s="230"/>
      <c r="V763" s="231"/>
      <c r="W763" s="232"/>
      <c r="X763" s="233"/>
      <c r="Y763" s="219"/>
      <c r="Z763" s="219"/>
    </row>
    <row r="764" spans="1:26" ht="15.75" thickBot="1">
      <c r="A764" s="225">
        <v>602</v>
      </c>
      <c r="B764" s="216"/>
      <c r="C764" s="216"/>
      <c r="D764" s="216"/>
      <c r="E764" s="216" t="s">
        <v>1837</v>
      </c>
      <c r="F764" s="226" t="s">
        <v>1838</v>
      </c>
      <c r="G764" s="227"/>
      <c r="H764" s="227"/>
      <c r="I764" s="216"/>
      <c r="J764" s="225">
        <v>1000</v>
      </c>
      <c r="K764" s="228">
        <v>5.6481481481481478E-3</v>
      </c>
      <c r="L764" s="225" t="s">
        <v>1816</v>
      </c>
      <c r="M764" s="219"/>
      <c r="N764" s="219"/>
      <c r="O764" s="216"/>
      <c r="P764" s="216"/>
      <c r="Q764" s="216"/>
      <c r="R764" s="220"/>
      <c r="S764" s="220"/>
      <c r="T764" s="220"/>
      <c r="U764" s="230"/>
      <c r="V764" s="231"/>
      <c r="W764" s="232"/>
      <c r="X764" s="233"/>
      <c r="Y764" s="219"/>
      <c r="Z764" s="219"/>
    </row>
    <row r="765" spans="1:26" ht="15.75" thickBot="1">
      <c r="A765" s="225">
        <v>603</v>
      </c>
      <c r="B765" s="216"/>
      <c r="C765" s="216"/>
      <c r="D765" s="216"/>
      <c r="E765" s="216" t="s">
        <v>1839</v>
      </c>
      <c r="F765" s="226" t="s">
        <v>1840</v>
      </c>
      <c r="G765" s="227"/>
      <c r="H765" s="227"/>
      <c r="I765" s="216"/>
      <c r="J765" s="225">
        <v>1000</v>
      </c>
      <c r="K765" s="228">
        <v>1.9791666666666668E-3</v>
      </c>
      <c r="L765" s="225" t="s">
        <v>1816</v>
      </c>
      <c r="M765" s="219"/>
      <c r="N765" s="219"/>
      <c r="O765" s="216"/>
      <c r="P765" s="216"/>
      <c r="Q765" s="216"/>
      <c r="R765" s="220"/>
      <c r="S765" s="220"/>
      <c r="T765" s="220"/>
      <c r="U765" s="230"/>
      <c r="V765" s="231"/>
      <c r="W765" s="232"/>
      <c r="X765" s="233"/>
      <c r="Y765" s="219"/>
      <c r="Z765" s="219"/>
    </row>
    <row r="766" spans="1:26" ht="15.75" thickBot="1">
      <c r="A766" s="225">
        <v>604</v>
      </c>
      <c r="B766" s="216"/>
      <c r="C766" s="216"/>
      <c r="D766" s="216"/>
      <c r="E766" s="216" t="s">
        <v>1841</v>
      </c>
      <c r="F766" s="226" t="s">
        <v>1842</v>
      </c>
      <c r="G766" s="227"/>
      <c r="H766" s="227"/>
      <c r="I766" s="216"/>
      <c r="J766" s="225">
        <v>1700</v>
      </c>
      <c r="K766" s="228">
        <v>3.9351851851851857E-3</v>
      </c>
      <c r="L766" s="225" t="s">
        <v>1816</v>
      </c>
      <c r="M766" s="219"/>
      <c r="N766" s="219"/>
      <c r="O766" s="216"/>
      <c r="P766" s="216"/>
      <c r="Q766" s="216"/>
      <c r="R766" s="220"/>
      <c r="S766" s="220"/>
      <c r="T766" s="220"/>
      <c r="U766" s="230"/>
      <c r="V766" s="231"/>
      <c r="W766" s="232"/>
      <c r="X766" s="233"/>
      <c r="Y766" s="219"/>
      <c r="Z766" s="219"/>
    </row>
    <row r="767" spans="1:26" ht="15.75" thickBot="1">
      <c r="A767" s="225">
        <v>605</v>
      </c>
      <c r="B767" s="216"/>
      <c r="C767" s="216"/>
      <c r="D767" s="216"/>
      <c r="E767" s="216" t="s">
        <v>1843</v>
      </c>
      <c r="F767" s="226" t="s">
        <v>1844</v>
      </c>
      <c r="G767" s="227"/>
      <c r="H767" s="227"/>
      <c r="I767" s="216"/>
      <c r="J767" s="225">
        <v>429</v>
      </c>
      <c r="K767" s="228">
        <v>1.5972222222222221E-3</v>
      </c>
      <c r="L767" s="225" t="s">
        <v>1816</v>
      </c>
      <c r="M767" s="219"/>
      <c r="N767" s="219"/>
      <c r="O767" s="216"/>
      <c r="P767" s="216"/>
      <c r="Q767" s="216"/>
      <c r="R767" s="220"/>
      <c r="S767" s="220"/>
      <c r="T767" s="220"/>
      <c r="U767" s="230"/>
      <c r="V767" s="231"/>
      <c r="W767" s="232"/>
      <c r="X767" s="233"/>
      <c r="Y767" s="219"/>
      <c r="Z767" s="219"/>
    </row>
    <row r="768" spans="1:26" ht="15.75" thickBot="1">
      <c r="A768" s="225">
        <v>606</v>
      </c>
      <c r="B768" s="216"/>
      <c r="C768" s="216"/>
      <c r="D768" s="216"/>
      <c r="E768" s="216" t="s">
        <v>1845</v>
      </c>
      <c r="F768" s="226" t="s">
        <v>1846</v>
      </c>
      <c r="G768" s="227"/>
      <c r="H768" s="227"/>
      <c r="I768" s="216"/>
      <c r="J768" s="225">
        <v>2100</v>
      </c>
      <c r="K768" s="228">
        <v>1.9791666666666668E-3</v>
      </c>
      <c r="L768" s="225" t="s">
        <v>1816</v>
      </c>
      <c r="M768" s="219"/>
      <c r="N768" s="219"/>
      <c r="O768" s="216"/>
      <c r="P768" s="216"/>
      <c r="Q768" s="216"/>
      <c r="R768" s="220"/>
      <c r="S768" s="220"/>
      <c r="T768" s="220"/>
      <c r="U768" s="230"/>
      <c r="V768" s="231"/>
      <c r="W768" s="232"/>
      <c r="X768" s="233"/>
      <c r="Y768" s="219"/>
      <c r="Z768" s="219"/>
    </row>
    <row r="769" spans="1:26" ht="15.75" thickBot="1">
      <c r="A769" s="225">
        <v>607</v>
      </c>
      <c r="B769" s="216"/>
      <c r="C769" s="216"/>
      <c r="D769" s="216"/>
      <c r="E769" s="216" t="s">
        <v>1847</v>
      </c>
      <c r="F769" s="226" t="s">
        <v>1848</v>
      </c>
      <c r="G769" s="227"/>
      <c r="H769" s="227"/>
      <c r="I769" s="216"/>
      <c r="J769" s="225">
        <v>468</v>
      </c>
      <c r="K769" s="228">
        <v>8.7962962962962962E-4</v>
      </c>
      <c r="L769" s="225" t="s">
        <v>1816</v>
      </c>
      <c r="M769" s="219"/>
      <c r="N769" s="219"/>
      <c r="O769" s="216"/>
      <c r="P769" s="216"/>
      <c r="Q769" s="216"/>
      <c r="R769" s="220"/>
      <c r="S769" s="220"/>
      <c r="T769" s="220"/>
      <c r="U769" s="230"/>
      <c r="V769" s="231"/>
      <c r="W769" s="232"/>
      <c r="X769" s="233"/>
      <c r="Y769" s="219"/>
      <c r="Z769" s="219"/>
    </row>
    <row r="770" spans="1:26" ht="15.75" thickBot="1">
      <c r="A770" s="225">
        <v>608</v>
      </c>
      <c r="B770" s="216"/>
      <c r="C770" s="216"/>
      <c r="D770" s="216"/>
      <c r="E770" s="216" t="s">
        <v>1849</v>
      </c>
      <c r="F770" s="226" t="s">
        <v>1850</v>
      </c>
      <c r="G770" s="227"/>
      <c r="H770" s="227"/>
      <c r="I770" s="216"/>
      <c r="J770" s="225">
        <v>833</v>
      </c>
      <c r="K770" s="228">
        <v>1.9907407407407408E-3</v>
      </c>
      <c r="L770" s="225" t="s">
        <v>1816</v>
      </c>
      <c r="M770" s="219"/>
      <c r="N770" s="219"/>
      <c r="O770" s="216"/>
      <c r="P770" s="216"/>
      <c r="Q770" s="216"/>
      <c r="R770" s="220"/>
      <c r="S770" s="220"/>
      <c r="T770" s="220"/>
      <c r="U770" s="230"/>
      <c r="V770" s="231"/>
      <c r="W770" s="232"/>
      <c r="X770" s="233"/>
      <c r="Y770" s="219"/>
      <c r="Z770" s="219"/>
    </row>
    <row r="771" spans="1:26" ht="15.75" thickBot="1">
      <c r="A771" s="225">
        <v>609</v>
      </c>
      <c r="B771" s="216"/>
      <c r="C771" s="216"/>
      <c r="D771" s="216"/>
      <c r="E771" s="216" t="s">
        <v>1851</v>
      </c>
      <c r="F771" s="226" t="s">
        <v>1852</v>
      </c>
      <c r="G771" s="227"/>
      <c r="H771" s="227"/>
      <c r="I771" s="216"/>
      <c r="J771" s="225">
        <v>32000</v>
      </c>
      <c r="K771" s="228">
        <v>3.8900462962962963E-2</v>
      </c>
      <c r="L771" s="225" t="s">
        <v>1816</v>
      </c>
      <c r="M771" s="219"/>
      <c r="N771" s="219"/>
      <c r="O771" s="216"/>
      <c r="P771" s="216"/>
      <c r="Q771" s="216"/>
      <c r="R771" s="220"/>
      <c r="S771" s="220"/>
      <c r="T771" s="220"/>
      <c r="U771" s="230"/>
      <c r="V771" s="231"/>
      <c r="W771" s="232"/>
      <c r="X771" s="233"/>
      <c r="Y771" s="219"/>
      <c r="Z771" s="219"/>
    </row>
    <row r="772" spans="1:26" ht="15.75" thickBot="1">
      <c r="A772" s="225">
        <v>610</v>
      </c>
      <c r="B772" s="216"/>
      <c r="C772" s="216"/>
      <c r="D772" s="216"/>
      <c r="E772" s="216" t="s">
        <v>1853</v>
      </c>
      <c r="F772" s="226" t="s">
        <v>1854</v>
      </c>
      <c r="G772" s="227"/>
      <c r="H772" s="227"/>
      <c r="I772" s="216"/>
      <c r="J772" s="225">
        <v>14000</v>
      </c>
      <c r="K772" s="228">
        <v>1.1423611111111112E-2</v>
      </c>
      <c r="L772" s="225" t="s">
        <v>1816</v>
      </c>
      <c r="M772" s="219"/>
      <c r="N772" s="219"/>
      <c r="O772" s="216"/>
      <c r="P772" s="216"/>
      <c r="Q772" s="216"/>
      <c r="R772" s="220"/>
      <c r="S772" s="220"/>
      <c r="T772" s="220"/>
      <c r="U772" s="230"/>
      <c r="V772" s="231"/>
      <c r="W772" s="232"/>
      <c r="X772" s="233"/>
      <c r="Y772" s="219"/>
      <c r="Z772" s="219"/>
    </row>
    <row r="773" spans="1:26" ht="15.75" thickBot="1">
      <c r="A773" s="225">
        <v>611</v>
      </c>
      <c r="B773" s="216"/>
      <c r="C773" s="216"/>
      <c r="D773" s="216"/>
      <c r="E773" s="216" t="s">
        <v>1855</v>
      </c>
      <c r="F773" s="226" t="s">
        <v>1856</v>
      </c>
      <c r="G773" s="227"/>
      <c r="H773" s="227"/>
      <c r="I773" s="216"/>
      <c r="J773" s="225">
        <v>617</v>
      </c>
      <c r="K773" s="228">
        <v>5.6481481481481478E-3</v>
      </c>
      <c r="L773" s="225" t="s">
        <v>1816</v>
      </c>
      <c r="M773" s="219"/>
      <c r="N773" s="219"/>
      <c r="O773" s="216"/>
      <c r="P773" s="216"/>
      <c r="Q773" s="216"/>
      <c r="R773" s="220"/>
      <c r="S773" s="220"/>
      <c r="T773" s="220"/>
      <c r="U773" s="230"/>
      <c r="V773" s="231"/>
      <c r="W773" s="232"/>
      <c r="X773" s="233"/>
      <c r="Y773" s="219"/>
      <c r="Z773" s="219"/>
    </row>
    <row r="774" spans="1:26" ht="15.75" thickBot="1">
      <c r="A774" s="225">
        <v>612</v>
      </c>
      <c r="B774" s="216"/>
      <c r="C774" s="216"/>
      <c r="D774" s="216"/>
      <c r="E774" s="216" t="s">
        <v>1857</v>
      </c>
      <c r="F774" s="226" t="s">
        <v>1858</v>
      </c>
      <c r="G774" s="227"/>
      <c r="H774" s="227"/>
      <c r="I774" s="216"/>
      <c r="J774" s="225">
        <v>8200</v>
      </c>
      <c r="K774" s="228">
        <v>4.3622685185185188E-2</v>
      </c>
      <c r="L774" s="225" t="s">
        <v>1816</v>
      </c>
      <c r="M774" s="219"/>
      <c r="N774" s="219"/>
      <c r="O774" s="216"/>
      <c r="P774" s="216"/>
      <c r="Q774" s="216"/>
      <c r="R774" s="220"/>
      <c r="S774" s="220"/>
      <c r="T774" s="220"/>
      <c r="U774" s="230"/>
      <c r="V774" s="231"/>
      <c r="W774" s="232"/>
      <c r="X774" s="233"/>
      <c r="Y774" s="219"/>
      <c r="Z774" s="219"/>
    </row>
    <row r="775" spans="1:26" ht="15.75" thickBot="1">
      <c r="A775" s="225">
        <v>613</v>
      </c>
      <c r="B775" s="216"/>
      <c r="C775" s="216"/>
      <c r="D775" s="216"/>
      <c r="E775" s="216" t="s">
        <v>1859</v>
      </c>
      <c r="F775" s="226" t="s">
        <v>1860</v>
      </c>
      <c r="G775" s="227"/>
      <c r="H775" s="227"/>
      <c r="I775" s="216"/>
      <c r="J775" s="225">
        <v>878</v>
      </c>
      <c r="K775" s="228">
        <v>3.2870370370370367E-3</v>
      </c>
      <c r="L775" s="225" t="s">
        <v>1816</v>
      </c>
      <c r="M775" s="219"/>
      <c r="N775" s="219"/>
      <c r="O775" s="216"/>
      <c r="P775" s="216"/>
      <c r="Q775" s="216"/>
      <c r="R775" s="220"/>
      <c r="S775" s="220"/>
      <c r="T775" s="220"/>
      <c r="U775" s="230"/>
      <c r="V775" s="231"/>
      <c r="W775" s="232"/>
      <c r="X775" s="233"/>
      <c r="Y775" s="219"/>
      <c r="Z775" s="219"/>
    </row>
    <row r="776" spans="1:26" ht="15.75" thickBot="1">
      <c r="A776" s="225">
        <v>614</v>
      </c>
      <c r="B776" s="216"/>
      <c r="C776" s="216"/>
      <c r="D776" s="216"/>
      <c r="E776" s="216" t="s">
        <v>1861</v>
      </c>
      <c r="F776" s="226" t="s">
        <v>1862</v>
      </c>
      <c r="G776" s="227"/>
      <c r="H776" s="227"/>
      <c r="I776" s="216"/>
      <c r="J776" s="225">
        <v>2700</v>
      </c>
      <c r="K776" s="228">
        <v>3.483796296296296E-3</v>
      </c>
      <c r="L776" s="225" t="s">
        <v>1816</v>
      </c>
      <c r="M776" s="219"/>
      <c r="N776" s="219"/>
      <c r="O776" s="216"/>
      <c r="P776" s="216"/>
      <c r="Q776" s="216"/>
      <c r="R776" s="220"/>
      <c r="S776" s="220"/>
      <c r="T776" s="220"/>
      <c r="U776" s="230"/>
      <c r="V776" s="231"/>
      <c r="W776" s="232"/>
      <c r="X776" s="233"/>
      <c r="Y776" s="219"/>
      <c r="Z776" s="219"/>
    </row>
    <row r="777" spans="1:26" ht="15.75" thickBot="1">
      <c r="A777" s="225">
        <v>615</v>
      </c>
      <c r="B777" s="216"/>
      <c r="C777" s="216"/>
      <c r="D777" s="216"/>
      <c r="E777" s="216" t="s">
        <v>1863</v>
      </c>
      <c r="F777" s="226" t="s">
        <v>1864</v>
      </c>
      <c r="G777" s="227"/>
      <c r="H777" s="227"/>
      <c r="I777" s="216"/>
      <c r="J777" s="225">
        <v>4300</v>
      </c>
      <c r="K777" s="228">
        <v>5.004629629629629E-2</v>
      </c>
      <c r="L777" s="225" t="s">
        <v>1816</v>
      </c>
      <c r="M777" s="219"/>
      <c r="N777" s="219"/>
      <c r="O777" s="216"/>
      <c r="P777" s="216"/>
      <c r="Q777" s="216"/>
      <c r="R777" s="220"/>
      <c r="S777" s="220"/>
      <c r="T777" s="220"/>
      <c r="U777" s="230"/>
      <c r="V777" s="231"/>
      <c r="W777" s="232"/>
      <c r="X777" s="233"/>
      <c r="Y777" s="219"/>
      <c r="Z777" s="219"/>
    </row>
    <row r="778" spans="1:26" ht="15.75" thickBot="1">
      <c r="A778" s="225">
        <v>616</v>
      </c>
      <c r="B778" s="216"/>
      <c r="C778" s="216"/>
      <c r="D778" s="216"/>
      <c r="E778" s="216" t="s">
        <v>1865</v>
      </c>
      <c r="F778" s="226" t="s">
        <v>1866</v>
      </c>
      <c r="G778" s="227"/>
      <c r="H778" s="227"/>
      <c r="I778" s="216"/>
      <c r="J778" s="225">
        <v>8900</v>
      </c>
      <c r="K778" s="228">
        <v>3.8819444444444441E-2</v>
      </c>
      <c r="L778" s="225" t="s">
        <v>1867</v>
      </c>
      <c r="M778" s="219"/>
      <c r="N778" s="219"/>
      <c r="O778" s="216"/>
      <c r="P778" s="216"/>
      <c r="Q778" s="216"/>
      <c r="R778" s="220"/>
      <c r="S778" s="220"/>
      <c r="T778" s="220"/>
      <c r="U778" s="230"/>
      <c r="V778" s="231"/>
      <c r="W778" s="232"/>
      <c r="X778" s="233"/>
      <c r="Y778" s="219"/>
      <c r="Z778" s="219"/>
    </row>
    <row r="779" spans="1:26" ht="15.75" thickBot="1">
      <c r="A779" s="225">
        <v>617</v>
      </c>
      <c r="B779" s="216"/>
      <c r="C779" s="216"/>
      <c r="D779" s="216"/>
      <c r="E779" s="216" t="s">
        <v>1868</v>
      </c>
      <c r="F779" s="226" t="s">
        <v>1869</v>
      </c>
      <c r="G779" s="227"/>
      <c r="H779" s="227"/>
      <c r="I779" s="216"/>
      <c r="J779" s="225">
        <v>72000</v>
      </c>
      <c r="K779" s="228">
        <v>0.11864583333333334</v>
      </c>
      <c r="L779" s="225" t="s">
        <v>1867</v>
      </c>
      <c r="M779" s="219"/>
      <c r="N779" s="219"/>
      <c r="O779" s="216"/>
      <c r="P779" s="216"/>
      <c r="Q779" s="216"/>
      <c r="R779" s="220"/>
      <c r="S779" s="220"/>
      <c r="T779" s="220"/>
      <c r="U779" s="230"/>
      <c r="V779" s="231"/>
      <c r="W779" s="232"/>
      <c r="X779" s="233"/>
      <c r="Y779" s="219"/>
      <c r="Z779" s="219"/>
    </row>
    <row r="780" spans="1:26" ht="15.75" thickBot="1">
      <c r="A780" s="225">
        <v>618</v>
      </c>
      <c r="B780" s="216"/>
      <c r="C780" s="216"/>
      <c r="D780" s="216"/>
      <c r="E780" s="216" t="s">
        <v>1870</v>
      </c>
      <c r="F780" s="226" t="s">
        <v>1871</v>
      </c>
      <c r="G780" s="227"/>
      <c r="H780" s="227"/>
      <c r="I780" s="216"/>
      <c r="J780" s="225">
        <v>12000</v>
      </c>
      <c r="K780" s="228">
        <v>3.2708333333333332E-2</v>
      </c>
      <c r="L780" s="225" t="s">
        <v>1867</v>
      </c>
      <c r="M780" s="219"/>
      <c r="N780" s="219"/>
      <c r="O780" s="216"/>
      <c r="P780" s="216"/>
      <c r="Q780" s="216"/>
      <c r="R780" s="220"/>
      <c r="S780" s="220"/>
      <c r="T780" s="220"/>
      <c r="U780" s="230"/>
      <c r="V780" s="231"/>
      <c r="W780" s="232"/>
      <c r="X780" s="233"/>
      <c r="Y780" s="219"/>
      <c r="Z780" s="219"/>
    </row>
    <row r="781" spans="1:26" ht="15.75" thickBot="1">
      <c r="A781" s="225">
        <v>619</v>
      </c>
      <c r="B781" s="216"/>
      <c r="C781" s="216"/>
      <c r="D781" s="216"/>
      <c r="E781" s="216" t="s">
        <v>1872</v>
      </c>
      <c r="F781" s="226" t="s">
        <v>1873</v>
      </c>
      <c r="G781" s="227"/>
      <c r="H781" s="227"/>
      <c r="I781" s="216"/>
      <c r="J781" s="225">
        <v>657</v>
      </c>
      <c r="K781" s="228">
        <v>3.7847222222222223E-3</v>
      </c>
      <c r="L781" s="225" t="s">
        <v>1867</v>
      </c>
      <c r="M781" s="219"/>
      <c r="N781" s="219"/>
      <c r="O781" s="216"/>
      <c r="P781" s="216"/>
      <c r="Q781" s="216"/>
      <c r="R781" s="220"/>
      <c r="S781" s="220"/>
      <c r="T781" s="220"/>
      <c r="U781" s="230"/>
      <c r="V781" s="231"/>
      <c r="W781" s="232"/>
      <c r="X781" s="233"/>
      <c r="Y781" s="219"/>
      <c r="Z781" s="219"/>
    </row>
    <row r="782" spans="1:26" ht="15.75" thickBot="1">
      <c r="A782" s="225">
        <v>620</v>
      </c>
      <c r="B782" s="216"/>
      <c r="C782" s="216"/>
      <c r="D782" s="216"/>
      <c r="E782" s="216" t="s">
        <v>1874</v>
      </c>
      <c r="F782" s="226" t="s">
        <v>1875</v>
      </c>
      <c r="G782" s="227"/>
      <c r="H782" s="227"/>
      <c r="I782" s="216"/>
      <c r="J782" s="225">
        <v>624</v>
      </c>
      <c r="K782" s="228">
        <v>6.2500000000000001E-4</v>
      </c>
      <c r="L782" s="225" t="s">
        <v>1867</v>
      </c>
      <c r="M782" s="219"/>
      <c r="N782" s="219"/>
      <c r="O782" s="216"/>
      <c r="P782" s="216"/>
      <c r="Q782" s="216"/>
      <c r="R782" s="220"/>
      <c r="S782" s="220"/>
      <c r="T782" s="220"/>
      <c r="U782" s="230"/>
      <c r="V782" s="231"/>
      <c r="W782" s="232"/>
      <c r="X782" s="233"/>
      <c r="Y782" s="219"/>
      <c r="Z782" s="219"/>
    </row>
    <row r="783" spans="1:26" ht="15.75" thickBot="1">
      <c r="A783" s="225">
        <v>621</v>
      </c>
      <c r="B783" s="216"/>
      <c r="C783" s="216"/>
      <c r="D783" s="216"/>
      <c r="E783" s="216" t="s">
        <v>1876</v>
      </c>
      <c r="F783" s="226" t="s">
        <v>1877</v>
      </c>
      <c r="G783" s="227"/>
      <c r="H783" s="227"/>
      <c r="I783" s="216"/>
      <c r="J783" s="225">
        <v>461</v>
      </c>
      <c r="K783" s="228">
        <v>1.3078703703703705E-3</v>
      </c>
      <c r="L783" s="225" t="s">
        <v>1867</v>
      </c>
      <c r="M783" s="219"/>
      <c r="N783" s="219"/>
      <c r="O783" s="216"/>
      <c r="P783" s="216"/>
      <c r="Q783" s="216"/>
      <c r="R783" s="220"/>
      <c r="S783" s="220"/>
      <c r="T783" s="220"/>
      <c r="U783" s="230"/>
      <c r="V783" s="231"/>
      <c r="W783" s="232"/>
      <c r="X783" s="233"/>
      <c r="Y783" s="219"/>
      <c r="Z783" s="219"/>
    </row>
    <row r="784" spans="1:26" ht="15.75" thickBot="1">
      <c r="A784" s="225">
        <v>622</v>
      </c>
      <c r="B784" s="216"/>
      <c r="C784" s="216"/>
      <c r="D784" s="216"/>
      <c r="E784" s="216" t="s">
        <v>1878</v>
      </c>
      <c r="F784" s="226" t="s">
        <v>1879</v>
      </c>
      <c r="G784" s="227"/>
      <c r="H784" s="227"/>
      <c r="I784" s="216"/>
      <c r="J784" s="225">
        <v>369</v>
      </c>
      <c r="K784" s="228">
        <v>2.5462962962962961E-3</v>
      </c>
      <c r="L784" s="225" t="s">
        <v>1867</v>
      </c>
      <c r="M784" s="219"/>
      <c r="N784" s="219"/>
      <c r="O784" s="216"/>
      <c r="P784" s="216"/>
      <c r="Q784" s="216"/>
      <c r="R784" s="220"/>
      <c r="S784" s="220"/>
      <c r="T784" s="220"/>
      <c r="U784" s="230"/>
      <c r="V784" s="231"/>
      <c r="W784" s="232"/>
      <c r="X784" s="233"/>
      <c r="Y784" s="219"/>
      <c r="Z784" s="219"/>
    </row>
    <row r="785" spans="1:26" ht="15.75" thickBot="1">
      <c r="A785" s="225">
        <v>623</v>
      </c>
      <c r="B785" s="216"/>
      <c r="C785" s="216"/>
      <c r="D785" s="216"/>
      <c r="E785" s="216" t="s">
        <v>1880</v>
      </c>
      <c r="F785" s="226" t="s">
        <v>1881</v>
      </c>
      <c r="G785" s="227"/>
      <c r="H785" s="227"/>
      <c r="I785" s="216"/>
      <c r="J785" s="225">
        <v>554</v>
      </c>
      <c r="K785" s="228">
        <v>5.3125000000000004E-3</v>
      </c>
      <c r="L785" s="225" t="s">
        <v>1867</v>
      </c>
      <c r="M785" s="219"/>
      <c r="N785" s="219"/>
      <c r="O785" s="216"/>
      <c r="P785" s="216"/>
      <c r="Q785" s="216"/>
      <c r="R785" s="220"/>
      <c r="S785" s="220"/>
      <c r="T785" s="220"/>
      <c r="U785" s="230"/>
      <c r="V785" s="231"/>
      <c r="W785" s="232"/>
      <c r="X785" s="233"/>
      <c r="Y785" s="219"/>
      <c r="Z785" s="219"/>
    </row>
    <row r="786" spans="1:26" ht="15.75" thickBot="1">
      <c r="A786" s="225">
        <v>624</v>
      </c>
      <c r="B786" s="216"/>
      <c r="C786" s="216"/>
      <c r="D786" s="216"/>
      <c r="E786" s="216" t="s">
        <v>1882</v>
      </c>
      <c r="F786" s="226" t="s">
        <v>1883</v>
      </c>
      <c r="G786" s="227"/>
      <c r="H786" s="227"/>
      <c r="I786" s="216"/>
      <c r="J786" s="225">
        <v>8500</v>
      </c>
      <c r="K786" s="228">
        <v>5.7048611111111112E-2</v>
      </c>
      <c r="L786" s="225" t="s">
        <v>1867</v>
      </c>
      <c r="M786" s="219"/>
      <c r="N786" s="219"/>
      <c r="O786" s="216"/>
      <c r="P786" s="216"/>
      <c r="Q786" s="216"/>
      <c r="R786" s="220"/>
      <c r="S786" s="220"/>
      <c r="T786" s="220"/>
      <c r="U786" s="230"/>
      <c r="V786" s="231"/>
      <c r="W786" s="232"/>
      <c r="X786" s="233"/>
      <c r="Y786" s="219"/>
      <c r="Z786" s="219"/>
    </row>
    <row r="787" spans="1:26" ht="15.75" thickBot="1">
      <c r="A787" s="225">
        <v>625</v>
      </c>
      <c r="B787" s="216"/>
      <c r="C787" s="216"/>
      <c r="D787" s="216"/>
      <c r="E787" s="216" t="s">
        <v>1884</v>
      </c>
      <c r="F787" s="226" t="s">
        <v>1885</v>
      </c>
      <c r="G787" s="227"/>
      <c r="H787" s="227"/>
      <c r="I787" s="216"/>
      <c r="J787" s="225">
        <v>686</v>
      </c>
      <c r="K787" s="228">
        <v>8.3333333333333339E-4</v>
      </c>
      <c r="L787" s="225" t="s">
        <v>1867</v>
      </c>
      <c r="M787" s="219"/>
      <c r="N787" s="219"/>
      <c r="O787" s="216"/>
      <c r="P787" s="216"/>
      <c r="Q787" s="216"/>
      <c r="R787" s="220"/>
      <c r="S787" s="220"/>
      <c r="T787" s="220"/>
      <c r="U787" s="230"/>
      <c r="V787" s="231"/>
      <c r="W787" s="232"/>
      <c r="X787" s="233"/>
      <c r="Y787" s="219"/>
      <c r="Z787" s="219"/>
    </row>
    <row r="788" spans="1:26" ht="15.75" thickBot="1">
      <c r="A788" s="225">
        <v>626</v>
      </c>
      <c r="B788" s="216"/>
      <c r="C788" s="216"/>
      <c r="D788" s="216"/>
      <c r="E788" s="216" t="s">
        <v>1886</v>
      </c>
      <c r="F788" s="226" t="s">
        <v>1887</v>
      </c>
      <c r="G788" s="227"/>
      <c r="H788" s="227"/>
      <c r="I788" s="216"/>
      <c r="J788" s="225">
        <v>7100</v>
      </c>
      <c r="K788" s="228">
        <v>4.221064814814815E-2</v>
      </c>
      <c r="L788" s="225" t="s">
        <v>1867</v>
      </c>
      <c r="M788" s="219"/>
      <c r="N788" s="219"/>
      <c r="O788" s="216"/>
      <c r="P788" s="216"/>
      <c r="Q788" s="216"/>
      <c r="R788" s="220"/>
      <c r="S788" s="220"/>
      <c r="T788" s="220"/>
      <c r="U788" s="230"/>
      <c r="V788" s="231"/>
      <c r="W788" s="232"/>
      <c r="X788" s="233"/>
      <c r="Y788" s="219"/>
      <c r="Z788" s="219"/>
    </row>
    <row r="789" spans="1:26" ht="15.75" thickBot="1">
      <c r="A789" s="225">
        <v>627</v>
      </c>
      <c r="B789" s="216"/>
      <c r="C789" s="216"/>
      <c r="D789" s="216"/>
      <c r="E789" s="216" t="s">
        <v>1888</v>
      </c>
      <c r="F789" s="226" t="s">
        <v>1889</v>
      </c>
      <c r="G789" s="227"/>
      <c r="H789" s="227"/>
      <c r="I789" s="216"/>
      <c r="J789" s="225">
        <v>265</v>
      </c>
      <c r="K789" s="228">
        <v>1.2847222222222223E-3</v>
      </c>
      <c r="L789" s="225" t="s">
        <v>1867</v>
      </c>
      <c r="M789" s="219"/>
      <c r="N789" s="219"/>
      <c r="O789" s="216"/>
      <c r="P789" s="216"/>
      <c r="Q789" s="216"/>
      <c r="R789" s="220"/>
      <c r="S789" s="220"/>
      <c r="T789" s="220"/>
      <c r="U789" s="230"/>
      <c r="V789" s="231"/>
      <c r="W789" s="232"/>
      <c r="X789" s="233"/>
      <c r="Y789" s="219"/>
      <c r="Z789" s="219"/>
    </row>
    <row r="790" spans="1:26" ht="15.75" thickBot="1">
      <c r="A790" s="225">
        <v>628</v>
      </c>
      <c r="B790" s="216"/>
      <c r="C790" s="216"/>
      <c r="D790" s="216"/>
      <c r="E790" s="216" t="s">
        <v>1890</v>
      </c>
      <c r="F790" s="226" t="s">
        <v>1891</v>
      </c>
      <c r="G790" s="227"/>
      <c r="H790" s="227"/>
      <c r="I790" s="216"/>
      <c r="J790" s="225">
        <v>476</v>
      </c>
      <c r="K790" s="228">
        <v>2.1064814814814813E-3</v>
      </c>
      <c r="L790" s="225" t="s">
        <v>1867</v>
      </c>
      <c r="M790" s="219"/>
      <c r="N790" s="219"/>
      <c r="O790" s="216"/>
      <c r="P790" s="216"/>
      <c r="Q790" s="216"/>
      <c r="R790" s="220"/>
      <c r="S790" s="220"/>
      <c r="T790" s="220"/>
      <c r="U790" s="230"/>
      <c r="V790" s="231"/>
      <c r="W790" s="232"/>
      <c r="X790" s="233"/>
      <c r="Y790" s="219"/>
      <c r="Z790" s="219"/>
    </row>
    <row r="791" spans="1:26" ht="15.75" thickBot="1">
      <c r="A791" s="225">
        <v>629</v>
      </c>
      <c r="B791" s="216"/>
      <c r="C791" s="216"/>
      <c r="D791" s="216"/>
      <c r="E791" s="216" t="s">
        <v>1892</v>
      </c>
      <c r="F791" s="226" t="s">
        <v>1893</v>
      </c>
      <c r="G791" s="227"/>
      <c r="H791" s="227"/>
      <c r="I791" s="216"/>
      <c r="J791" s="225">
        <v>359</v>
      </c>
      <c r="K791" s="228">
        <v>2.5115740740740741E-3</v>
      </c>
      <c r="L791" s="225" t="s">
        <v>1867</v>
      </c>
      <c r="M791" s="219"/>
      <c r="N791" s="219"/>
      <c r="O791" s="216"/>
      <c r="P791" s="216"/>
      <c r="Q791" s="216"/>
      <c r="R791" s="220"/>
      <c r="S791" s="220"/>
      <c r="T791" s="220"/>
      <c r="U791" s="230"/>
      <c r="V791" s="231"/>
      <c r="W791" s="232"/>
      <c r="X791" s="233"/>
      <c r="Y791" s="219"/>
      <c r="Z791" s="219"/>
    </row>
    <row r="792" spans="1:26" ht="15.75" thickBot="1">
      <c r="A792" s="225">
        <v>630</v>
      </c>
      <c r="B792" s="216"/>
      <c r="C792" s="216"/>
      <c r="D792" s="216"/>
      <c r="E792" s="216" t="s">
        <v>1894</v>
      </c>
      <c r="F792" s="226" t="s">
        <v>1895</v>
      </c>
      <c r="G792" s="227"/>
      <c r="H792" s="227"/>
      <c r="I792" s="216"/>
      <c r="J792" s="225">
        <v>522</v>
      </c>
      <c r="K792" s="228">
        <v>1.8750000000000001E-3</v>
      </c>
      <c r="L792" s="225" t="s">
        <v>1867</v>
      </c>
      <c r="M792" s="219"/>
      <c r="N792" s="219"/>
      <c r="O792" s="216"/>
      <c r="P792" s="216"/>
      <c r="Q792" s="216"/>
      <c r="R792" s="220"/>
      <c r="S792" s="220"/>
      <c r="T792" s="220"/>
      <c r="U792" s="230"/>
      <c r="V792" s="231"/>
      <c r="W792" s="232"/>
      <c r="X792" s="233"/>
      <c r="Y792" s="219"/>
      <c r="Z792" s="219"/>
    </row>
    <row r="793" spans="1:26" ht="15.75" thickBot="1">
      <c r="A793" s="225">
        <v>631</v>
      </c>
      <c r="B793" s="216"/>
      <c r="C793" s="216"/>
      <c r="D793" s="216"/>
      <c r="E793" s="216" t="s">
        <v>1896</v>
      </c>
      <c r="F793" s="226" t="s">
        <v>1897</v>
      </c>
      <c r="G793" s="227"/>
      <c r="H793" s="227"/>
      <c r="I793" s="216"/>
      <c r="J793" s="225">
        <v>403</v>
      </c>
      <c r="K793" s="228">
        <v>1.1805555555555556E-3</v>
      </c>
      <c r="L793" s="225" t="s">
        <v>1867</v>
      </c>
      <c r="M793" s="219"/>
      <c r="N793" s="219"/>
      <c r="O793" s="216"/>
      <c r="P793" s="216"/>
      <c r="Q793" s="216"/>
      <c r="R793" s="220"/>
      <c r="S793" s="220"/>
      <c r="T793" s="220"/>
      <c r="U793" s="230"/>
      <c r="V793" s="231"/>
      <c r="W793" s="232"/>
      <c r="X793" s="233"/>
      <c r="Y793" s="219"/>
      <c r="Z793" s="219"/>
    </row>
    <row r="794" spans="1:26" ht="15.75" thickBot="1">
      <c r="A794" s="225">
        <v>632</v>
      </c>
      <c r="B794" s="216"/>
      <c r="C794" s="216"/>
      <c r="D794" s="216"/>
      <c r="E794" s="216" t="s">
        <v>1898</v>
      </c>
      <c r="F794" s="226" t="s">
        <v>1899</v>
      </c>
      <c r="G794" s="227"/>
      <c r="H794" s="227"/>
      <c r="I794" s="216"/>
      <c r="J794" s="225">
        <v>499</v>
      </c>
      <c r="K794" s="228">
        <v>1.4004629629629629E-3</v>
      </c>
      <c r="L794" s="225" t="s">
        <v>1867</v>
      </c>
      <c r="M794" s="219"/>
      <c r="N794" s="219"/>
      <c r="O794" s="216"/>
      <c r="P794" s="216"/>
      <c r="Q794" s="216"/>
      <c r="R794" s="220"/>
      <c r="S794" s="220"/>
      <c r="T794" s="220"/>
      <c r="U794" s="230"/>
      <c r="V794" s="231"/>
      <c r="W794" s="232"/>
      <c r="X794" s="233"/>
      <c r="Y794" s="219"/>
      <c r="Z794" s="219"/>
    </row>
    <row r="795" spans="1:26" ht="15.75" thickBot="1">
      <c r="A795" s="225">
        <v>633</v>
      </c>
      <c r="B795" s="216"/>
      <c r="C795" s="216"/>
      <c r="D795" s="216"/>
      <c r="E795" s="216" t="s">
        <v>1900</v>
      </c>
      <c r="F795" s="226" t="s">
        <v>1901</v>
      </c>
      <c r="G795" s="227"/>
      <c r="H795" s="227"/>
      <c r="I795" s="216"/>
      <c r="J795" s="225">
        <v>390</v>
      </c>
      <c r="K795" s="228">
        <v>1.6666666666666668E-3</v>
      </c>
      <c r="L795" s="225" t="s">
        <v>1867</v>
      </c>
      <c r="M795" s="219"/>
      <c r="N795" s="219"/>
      <c r="O795" s="216"/>
      <c r="P795" s="216"/>
      <c r="Q795" s="216"/>
      <c r="R795" s="220"/>
      <c r="S795" s="220"/>
      <c r="T795" s="220"/>
      <c r="U795" s="230"/>
      <c r="V795" s="231"/>
      <c r="W795" s="232"/>
      <c r="X795" s="233"/>
      <c r="Y795" s="219"/>
      <c r="Z795" s="219"/>
    </row>
    <row r="796" spans="1:26" ht="15.75" thickBot="1">
      <c r="A796" s="225">
        <v>634</v>
      </c>
      <c r="B796" s="216"/>
      <c r="C796" s="216"/>
      <c r="D796" s="216"/>
      <c r="E796" s="216" t="s">
        <v>1902</v>
      </c>
      <c r="F796" s="226" t="s">
        <v>1903</v>
      </c>
      <c r="G796" s="227"/>
      <c r="H796" s="227"/>
      <c r="I796" s="216"/>
      <c r="J796" s="225">
        <v>275</v>
      </c>
      <c r="K796" s="228">
        <v>1.1458333333333333E-3</v>
      </c>
      <c r="L796" s="225" t="s">
        <v>1867</v>
      </c>
      <c r="M796" s="219"/>
      <c r="N796" s="219"/>
      <c r="O796" s="216"/>
      <c r="P796" s="216"/>
      <c r="Q796" s="216"/>
      <c r="R796" s="220"/>
      <c r="S796" s="220"/>
      <c r="T796" s="220"/>
      <c r="U796" s="230"/>
      <c r="V796" s="231"/>
      <c r="W796" s="232"/>
      <c r="X796" s="233"/>
      <c r="Y796" s="219"/>
      <c r="Z796" s="219"/>
    </row>
    <row r="797" spans="1:26" ht="15.75" thickBot="1">
      <c r="A797" s="225">
        <v>635</v>
      </c>
      <c r="B797" s="216"/>
      <c r="C797" s="216"/>
      <c r="D797" s="216"/>
      <c r="E797" s="216" t="s">
        <v>1904</v>
      </c>
      <c r="F797" s="226" t="s">
        <v>1905</v>
      </c>
      <c r="G797" s="227"/>
      <c r="H797" s="227"/>
      <c r="I797" s="216"/>
      <c r="J797" s="225">
        <v>822</v>
      </c>
      <c r="K797" s="228">
        <v>1.8055555555555557E-3</v>
      </c>
      <c r="L797" s="225" t="s">
        <v>1867</v>
      </c>
      <c r="M797" s="219"/>
      <c r="N797" s="219"/>
      <c r="O797" s="216"/>
      <c r="P797" s="216"/>
      <c r="Q797" s="216"/>
      <c r="R797" s="220"/>
      <c r="S797" s="220"/>
      <c r="T797" s="220"/>
      <c r="U797" s="230"/>
      <c r="V797" s="231"/>
      <c r="W797" s="232"/>
      <c r="X797" s="233"/>
      <c r="Y797" s="219"/>
      <c r="Z797" s="219"/>
    </row>
    <row r="798" spans="1:26" ht="15.75" thickBot="1">
      <c r="A798" s="225">
        <v>636</v>
      </c>
      <c r="B798" s="216"/>
      <c r="C798" s="216"/>
      <c r="D798" s="216"/>
      <c r="E798" s="216" t="s">
        <v>1906</v>
      </c>
      <c r="F798" s="226" t="s">
        <v>1907</v>
      </c>
      <c r="G798" s="227"/>
      <c r="H798" s="227"/>
      <c r="I798" s="216"/>
      <c r="J798" s="225">
        <v>2200</v>
      </c>
      <c r="K798" s="228">
        <v>2.255787037037037E-2</v>
      </c>
      <c r="L798" s="225" t="s">
        <v>1867</v>
      </c>
      <c r="M798" s="219"/>
      <c r="N798" s="219"/>
      <c r="O798" s="216"/>
      <c r="P798" s="216"/>
      <c r="Q798" s="216"/>
      <c r="R798" s="220"/>
      <c r="S798" s="220"/>
      <c r="T798" s="220"/>
      <c r="U798" s="230"/>
      <c r="V798" s="231"/>
      <c r="W798" s="232"/>
      <c r="X798" s="233"/>
      <c r="Y798" s="219"/>
      <c r="Z798" s="219"/>
    </row>
    <row r="799" spans="1:26" ht="15.75" thickBot="1">
      <c r="A799" s="225">
        <v>637</v>
      </c>
      <c r="B799" s="216"/>
      <c r="C799" s="216"/>
      <c r="D799" s="216"/>
      <c r="E799" s="216" t="s">
        <v>1908</v>
      </c>
      <c r="F799" s="226" t="s">
        <v>1909</v>
      </c>
      <c r="G799" s="227"/>
      <c r="H799" s="227"/>
      <c r="I799" s="216"/>
      <c r="J799" s="225">
        <v>1300</v>
      </c>
      <c r="K799" s="228">
        <v>4.2129629629629626E-3</v>
      </c>
      <c r="L799" s="225" t="s">
        <v>1867</v>
      </c>
      <c r="M799" s="219"/>
      <c r="N799" s="219"/>
      <c r="O799" s="216"/>
      <c r="P799" s="216"/>
      <c r="Q799" s="216"/>
      <c r="R799" s="220"/>
      <c r="S799" s="220"/>
      <c r="T799" s="220"/>
      <c r="U799" s="230"/>
      <c r="V799" s="231"/>
      <c r="W799" s="232"/>
      <c r="X799" s="233"/>
      <c r="Y799" s="219"/>
      <c r="Z799" s="219"/>
    </row>
    <row r="800" spans="1:26" ht="15.75" thickBot="1">
      <c r="A800" s="225">
        <v>638</v>
      </c>
      <c r="B800" s="216"/>
      <c r="C800" s="216"/>
      <c r="D800" s="216"/>
      <c r="E800" s="216" t="s">
        <v>1910</v>
      </c>
      <c r="F800" s="226" t="s">
        <v>1911</v>
      </c>
      <c r="G800" s="227"/>
      <c r="H800" s="227"/>
      <c r="I800" s="216"/>
      <c r="J800" s="225">
        <v>481</v>
      </c>
      <c r="K800" s="228">
        <v>5.2777777777777771E-3</v>
      </c>
      <c r="L800" s="225" t="s">
        <v>1867</v>
      </c>
      <c r="M800" s="219"/>
      <c r="N800" s="219"/>
      <c r="O800" s="216"/>
      <c r="P800" s="216"/>
      <c r="Q800" s="216"/>
      <c r="R800" s="220"/>
      <c r="S800" s="220"/>
      <c r="T800" s="220"/>
      <c r="U800" s="230"/>
      <c r="V800" s="231"/>
      <c r="W800" s="232"/>
      <c r="X800" s="233"/>
      <c r="Y800" s="219"/>
      <c r="Z800" s="219"/>
    </row>
    <row r="801" spans="1:26" ht="15.75" thickBot="1">
      <c r="A801" s="225">
        <v>639</v>
      </c>
      <c r="B801" s="216"/>
      <c r="C801" s="216"/>
      <c r="D801" s="216"/>
      <c r="E801" s="216" t="s">
        <v>1912</v>
      </c>
      <c r="F801" s="226" t="s">
        <v>1913</v>
      </c>
      <c r="G801" s="227"/>
      <c r="H801" s="227"/>
      <c r="I801" s="216"/>
      <c r="J801" s="225">
        <v>411</v>
      </c>
      <c r="K801" s="228">
        <v>5.3240740740740744E-4</v>
      </c>
      <c r="L801" s="225" t="s">
        <v>1867</v>
      </c>
      <c r="M801" s="219"/>
      <c r="N801" s="219"/>
      <c r="O801" s="216"/>
      <c r="P801" s="216"/>
      <c r="Q801" s="216"/>
      <c r="R801" s="220"/>
      <c r="S801" s="220"/>
      <c r="T801" s="220"/>
      <c r="U801" s="230"/>
      <c r="V801" s="231"/>
      <c r="W801" s="232"/>
      <c r="X801" s="233"/>
      <c r="Y801" s="219"/>
      <c r="Z801" s="219"/>
    </row>
    <row r="802" spans="1:26" ht="15.75" thickBot="1">
      <c r="A802" s="225">
        <v>640</v>
      </c>
      <c r="B802" s="216"/>
      <c r="C802" s="216"/>
      <c r="D802" s="216"/>
      <c r="E802" s="216" t="s">
        <v>1914</v>
      </c>
      <c r="F802" s="226" t="s">
        <v>1915</v>
      </c>
      <c r="G802" s="227"/>
      <c r="H802" s="227"/>
      <c r="I802" s="216"/>
      <c r="J802" s="225">
        <v>301</v>
      </c>
      <c r="K802" s="228">
        <v>1.1226851851851851E-3</v>
      </c>
      <c r="L802" s="225" t="s">
        <v>1867</v>
      </c>
      <c r="M802" s="219"/>
      <c r="N802" s="219"/>
      <c r="O802" s="216"/>
      <c r="P802" s="216"/>
      <c r="Q802" s="216"/>
      <c r="R802" s="220"/>
      <c r="S802" s="220"/>
      <c r="T802" s="220"/>
      <c r="U802" s="230"/>
      <c r="V802" s="231"/>
      <c r="W802" s="232"/>
      <c r="X802" s="233"/>
      <c r="Y802" s="219"/>
      <c r="Z802" s="219"/>
    </row>
    <row r="803" spans="1:26" ht="15.75" thickBot="1">
      <c r="A803" s="225">
        <v>641</v>
      </c>
      <c r="B803" s="216"/>
      <c r="C803" s="216"/>
      <c r="D803" s="216"/>
      <c r="E803" s="216" t="s">
        <v>1916</v>
      </c>
      <c r="F803" s="226" t="s">
        <v>1917</v>
      </c>
      <c r="G803" s="227"/>
      <c r="H803" s="227"/>
      <c r="I803" s="216"/>
      <c r="J803" s="225">
        <v>343</v>
      </c>
      <c r="K803" s="228">
        <v>1.736111111111111E-3</v>
      </c>
      <c r="L803" s="225" t="s">
        <v>1867</v>
      </c>
      <c r="M803" s="219"/>
      <c r="N803" s="219"/>
      <c r="O803" s="216"/>
      <c r="P803" s="216"/>
      <c r="Q803" s="216"/>
      <c r="R803" s="220"/>
      <c r="S803" s="220"/>
      <c r="T803" s="220"/>
      <c r="U803" s="230"/>
      <c r="V803" s="231"/>
      <c r="W803" s="232"/>
      <c r="X803" s="233"/>
      <c r="Y803" s="219"/>
      <c r="Z803" s="219"/>
    </row>
    <row r="804" spans="1:26" ht="15.75" thickBot="1">
      <c r="A804" s="225">
        <v>642</v>
      </c>
      <c r="B804" s="216"/>
      <c r="C804" s="216"/>
      <c r="D804" s="216"/>
      <c r="E804" s="216" t="s">
        <v>1918</v>
      </c>
      <c r="F804" s="226" t="s">
        <v>1919</v>
      </c>
      <c r="G804" s="227"/>
      <c r="H804" s="227"/>
      <c r="I804" s="216"/>
      <c r="J804" s="225">
        <v>816</v>
      </c>
      <c r="K804" s="228">
        <v>8.7962962962962962E-4</v>
      </c>
      <c r="L804" s="225" t="s">
        <v>1867</v>
      </c>
      <c r="M804" s="219"/>
      <c r="N804" s="219"/>
      <c r="O804" s="216"/>
      <c r="P804" s="216"/>
      <c r="Q804" s="216"/>
      <c r="R804" s="220"/>
      <c r="S804" s="220"/>
      <c r="T804" s="220"/>
      <c r="U804" s="230"/>
      <c r="V804" s="231"/>
      <c r="W804" s="232"/>
      <c r="X804" s="233"/>
      <c r="Y804" s="219"/>
      <c r="Z804" s="219"/>
    </row>
    <row r="805" spans="1:26" ht="15.75" thickBot="1">
      <c r="A805" s="225">
        <v>643</v>
      </c>
      <c r="B805" s="216"/>
      <c r="C805" s="219"/>
      <c r="D805" s="216"/>
      <c r="E805" s="216" t="s">
        <v>1920</v>
      </c>
      <c r="F805" s="226" t="s">
        <v>1921</v>
      </c>
      <c r="G805" s="227"/>
      <c r="H805" s="227"/>
      <c r="I805" s="216"/>
      <c r="J805" s="225">
        <v>443</v>
      </c>
      <c r="K805" s="228">
        <v>2.1643518518518518E-3</v>
      </c>
      <c r="L805" s="225" t="s">
        <v>1867</v>
      </c>
      <c r="M805" s="219"/>
      <c r="N805" s="219"/>
      <c r="O805" s="216"/>
      <c r="P805" s="216"/>
      <c r="Q805" s="216"/>
      <c r="R805" s="220"/>
      <c r="S805" s="220"/>
      <c r="T805" s="220"/>
      <c r="U805" s="230"/>
      <c r="V805" s="231"/>
      <c r="W805" s="232"/>
      <c r="X805" s="233"/>
      <c r="Y805" s="219"/>
      <c r="Z805" s="219"/>
    </row>
    <row r="806" spans="1:26" ht="15.75" thickBot="1">
      <c r="A806" s="225">
        <v>644</v>
      </c>
      <c r="B806" s="216"/>
      <c r="C806" s="216"/>
      <c r="D806" s="216"/>
      <c r="E806" s="216" t="s">
        <v>1922</v>
      </c>
      <c r="F806" s="226" t="s">
        <v>1923</v>
      </c>
      <c r="G806" s="227"/>
      <c r="H806" s="227"/>
      <c r="I806" s="216"/>
      <c r="J806" s="225">
        <v>467</v>
      </c>
      <c r="K806" s="228">
        <v>1.2268518518518518E-3</v>
      </c>
      <c r="L806" s="225" t="s">
        <v>1867</v>
      </c>
      <c r="M806" s="219"/>
      <c r="N806" s="219"/>
      <c r="O806" s="216"/>
      <c r="P806" s="216"/>
      <c r="Q806" s="216"/>
      <c r="R806" s="220"/>
      <c r="S806" s="220"/>
      <c r="T806" s="220"/>
      <c r="U806" s="230"/>
      <c r="V806" s="231"/>
      <c r="W806" s="232"/>
      <c r="X806" s="233"/>
      <c r="Y806" s="219"/>
      <c r="Z806" s="219"/>
    </row>
    <row r="807" spans="1:26" ht="15.75" thickBot="1">
      <c r="A807" s="225">
        <v>645</v>
      </c>
      <c r="B807" s="216"/>
      <c r="C807" s="216"/>
      <c r="D807" s="216"/>
      <c r="E807" s="216" t="s">
        <v>1924</v>
      </c>
      <c r="F807" s="226" t="s">
        <v>1925</v>
      </c>
      <c r="G807" s="227"/>
      <c r="H807" s="227"/>
      <c r="I807" s="216"/>
      <c r="J807" s="225">
        <v>360</v>
      </c>
      <c r="K807" s="228">
        <v>2.5462962962962961E-3</v>
      </c>
      <c r="L807" s="225" t="s">
        <v>1867</v>
      </c>
      <c r="M807" s="219"/>
      <c r="N807" s="219"/>
      <c r="O807" s="216"/>
      <c r="P807" s="216"/>
      <c r="Q807" s="216"/>
      <c r="R807" s="220"/>
      <c r="S807" s="220"/>
      <c r="T807" s="220"/>
      <c r="U807" s="230"/>
      <c r="V807" s="231"/>
      <c r="W807" s="232"/>
      <c r="X807" s="233"/>
      <c r="Y807" s="219"/>
      <c r="Z807" s="219"/>
    </row>
    <row r="808" spans="1:26" ht="15.75" thickBot="1">
      <c r="A808" s="225">
        <v>646</v>
      </c>
      <c r="B808" s="216"/>
      <c r="C808" s="216"/>
      <c r="D808" s="216"/>
      <c r="E808" s="216" t="s">
        <v>1926</v>
      </c>
      <c r="F808" s="226" t="s">
        <v>1927</v>
      </c>
      <c r="G808" s="227"/>
      <c r="H808" s="227"/>
      <c r="I808" s="216"/>
      <c r="J808" s="225">
        <v>771</v>
      </c>
      <c r="K808" s="228">
        <v>4.2476851851851851E-3</v>
      </c>
      <c r="L808" s="225" t="s">
        <v>1867</v>
      </c>
      <c r="M808" s="219"/>
      <c r="N808" s="219"/>
      <c r="O808" s="216"/>
      <c r="P808" s="216"/>
      <c r="Q808" s="216"/>
      <c r="R808" s="220"/>
      <c r="S808" s="220"/>
      <c r="T808" s="220"/>
      <c r="U808" s="230"/>
      <c r="V808" s="231"/>
      <c r="W808" s="232"/>
      <c r="X808" s="233"/>
      <c r="Y808" s="219"/>
      <c r="Z808" s="219"/>
    </row>
    <row r="809" spans="1:26" ht="15.75" thickBot="1">
      <c r="A809" s="225">
        <v>647</v>
      </c>
      <c r="B809" s="216"/>
      <c r="C809" s="216"/>
      <c r="D809" s="216"/>
      <c r="E809" s="216" t="s">
        <v>1928</v>
      </c>
      <c r="F809" s="226" t="s">
        <v>1929</v>
      </c>
      <c r="G809" s="227"/>
      <c r="H809" s="227"/>
      <c r="I809" s="216"/>
      <c r="J809" s="225">
        <v>546</v>
      </c>
      <c r="K809" s="228">
        <v>2.1064814814814813E-3</v>
      </c>
      <c r="L809" s="225" t="s">
        <v>1867</v>
      </c>
      <c r="M809" s="219"/>
      <c r="N809" s="219"/>
      <c r="O809" s="216"/>
      <c r="P809" s="216"/>
      <c r="Q809" s="216"/>
      <c r="R809" s="220"/>
      <c r="S809" s="220"/>
      <c r="T809" s="220"/>
      <c r="U809" s="230"/>
      <c r="V809" s="231"/>
      <c r="W809" s="232"/>
      <c r="X809" s="233"/>
      <c r="Y809" s="219"/>
      <c r="Z809" s="219"/>
    </row>
    <row r="810" spans="1:26" ht="15.75" thickBot="1">
      <c r="A810" s="225">
        <v>648</v>
      </c>
      <c r="B810" s="216"/>
      <c r="C810" s="216"/>
      <c r="D810" s="216"/>
      <c r="E810" s="216" t="s">
        <v>1930</v>
      </c>
      <c r="F810" s="226" t="s">
        <v>1931</v>
      </c>
      <c r="G810" s="227"/>
      <c r="H810" s="227"/>
      <c r="I810" s="216"/>
      <c r="J810" s="225">
        <v>2500</v>
      </c>
      <c r="K810" s="228">
        <v>3.5532407407407405E-3</v>
      </c>
      <c r="L810" s="225" t="s">
        <v>1867</v>
      </c>
      <c r="M810" s="219"/>
      <c r="N810" s="219"/>
      <c r="O810" s="216"/>
      <c r="P810" s="216"/>
      <c r="Q810" s="216"/>
      <c r="R810" s="220"/>
      <c r="S810" s="220"/>
      <c r="T810" s="220"/>
      <c r="U810" s="230"/>
      <c r="V810" s="231"/>
      <c r="W810" s="232"/>
      <c r="X810" s="233"/>
      <c r="Y810" s="219"/>
      <c r="Z810" s="219"/>
    </row>
    <row r="811" spans="1:26" ht="15.75" thickBot="1">
      <c r="A811" s="225">
        <v>649</v>
      </c>
      <c r="B811" s="216"/>
      <c r="C811" s="216"/>
      <c r="D811" s="216"/>
      <c r="E811" s="216" t="s">
        <v>1932</v>
      </c>
      <c r="F811" s="226" t="s">
        <v>1933</v>
      </c>
      <c r="G811" s="227"/>
      <c r="H811" s="227"/>
      <c r="I811" s="216"/>
      <c r="J811" s="225">
        <v>570</v>
      </c>
      <c r="K811" s="228">
        <v>1.3773148148148147E-3</v>
      </c>
      <c r="L811" s="225" t="s">
        <v>1867</v>
      </c>
      <c r="M811" s="219"/>
      <c r="N811" s="219"/>
      <c r="O811" s="216"/>
      <c r="P811" s="216"/>
      <c r="Q811" s="216"/>
      <c r="R811" s="220"/>
      <c r="S811" s="220"/>
      <c r="T811" s="220"/>
      <c r="U811" s="230"/>
      <c r="V811" s="231"/>
      <c r="W811" s="232"/>
      <c r="X811" s="233"/>
      <c r="Y811" s="219"/>
      <c r="Z811" s="219"/>
    </row>
    <row r="812" spans="1:26" ht="15.75" thickBot="1">
      <c r="A812" s="225">
        <v>650</v>
      </c>
      <c r="B812" s="216"/>
      <c r="C812" s="216"/>
      <c r="D812" s="216"/>
      <c r="E812" s="216" t="s">
        <v>1934</v>
      </c>
      <c r="F812" s="226" t="s">
        <v>1935</v>
      </c>
      <c r="G812" s="227"/>
      <c r="H812" s="227"/>
      <c r="I812" s="216"/>
      <c r="J812" s="225">
        <v>2600</v>
      </c>
      <c r="K812" s="228">
        <v>1.9212962962962962E-3</v>
      </c>
      <c r="L812" s="225" t="s">
        <v>1867</v>
      </c>
      <c r="M812" s="219"/>
      <c r="N812" s="219"/>
      <c r="O812" s="216"/>
      <c r="P812" s="216"/>
      <c r="Q812" s="216"/>
      <c r="R812" s="220"/>
      <c r="S812" s="220"/>
      <c r="T812" s="220"/>
      <c r="U812" s="230"/>
      <c r="V812" s="231"/>
      <c r="W812" s="232"/>
      <c r="X812" s="233"/>
      <c r="Y812" s="219"/>
      <c r="Z812" s="219"/>
    </row>
    <row r="813" spans="1:26" ht="15.75" thickBot="1">
      <c r="A813" s="225">
        <v>651</v>
      </c>
      <c r="B813" s="216"/>
      <c r="C813" s="216"/>
      <c r="D813" s="216"/>
      <c r="E813" s="216" t="s">
        <v>1936</v>
      </c>
      <c r="F813" s="226" t="s">
        <v>1937</v>
      </c>
      <c r="G813" s="227"/>
      <c r="H813" s="227"/>
      <c r="I813" s="216"/>
      <c r="J813" s="225">
        <v>173</v>
      </c>
      <c r="K813" s="228">
        <v>8.1018518518518516E-4</v>
      </c>
      <c r="L813" s="225" t="s">
        <v>1867</v>
      </c>
      <c r="M813" s="219"/>
      <c r="N813" s="219"/>
      <c r="O813" s="216"/>
      <c r="P813" s="216"/>
      <c r="Q813" s="216"/>
      <c r="R813" s="220"/>
      <c r="S813" s="220"/>
      <c r="T813" s="220"/>
      <c r="U813" s="230"/>
      <c r="V813" s="231"/>
      <c r="W813" s="232"/>
      <c r="X813" s="233"/>
      <c r="Y813" s="219"/>
      <c r="Z813" s="219"/>
    </row>
    <row r="814" spans="1:26" ht="15.75" thickBot="1">
      <c r="A814" s="225">
        <v>652</v>
      </c>
      <c r="B814" s="216"/>
      <c r="C814" s="216"/>
      <c r="D814" s="216"/>
      <c r="E814" s="216" t="s">
        <v>1938</v>
      </c>
      <c r="F814" s="226" t="s">
        <v>1939</v>
      </c>
      <c r="G814" s="227"/>
      <c r="H814" s="227"/>
      <c r="I814" s="216"/>
      <c r="J814" s="225">
        <v>789</v>
      </c>
      <c r="K814" s="228">
        <v>4.108796296296297E-3</v>
      </c>
      <c r="L814" s="225" t="s">
        <v>1867</v>
      </c>
      <c r="M814" s="219"/>
      <c r="N814" s="219"/>
      <c r="O814" s="216"/>
      <c r="P814" s="216"/>
      <c r="Q814" s="216"/>
      <c r="R814" s="220"/>
      <c r="S814" s="220"/>
      <c r="T814" s="220"/>
      <c r="U814" s="230"/>
      <c r="V814" s="231"/>
      <c r="W814" s="232"/>
      <c r="X814" s="233"/>
      <c r="Y814" s="219"/>
      <c r="Z814" s="219"/>
    </row>
    <row r="815" spans="1:26" ht="15.75" thickBot="1">
      <c r="A815" s="225">
        <v>653</v>
      </c>
      <c r="B815" s="216"/>
      <c r="C815" s="216"/>
      <c r="D815" s="216"/>
      <c r="E815" s="216" t="s">
        <v>1940</v>
      </c>
      <c r="F815" s="226" t="s">
        <v>1941</v>
      </c>
      <c r="G815" s="227"/>
      <c r="H815" s="227"/>
      <c r="I815" s="216"/>
      <c r="J815" s="225">
        <v>15000</v>
      </c>
      <c r="K815" s="228">
        <v>9.2048611111111109E-2</v>
      </c>
      <c r="L815" s="225" t="s">
        <v>1867</v>
      </c>
      <c r="M815" s="219"/>
      <c r="N815" s="219"/>
      <c r="O815" s="216"/>
      <c r="P815" s="216"/>
      <c r="Q815" s="216"/>
      <c r="R815" s="220"/>
      <c r="S815" s="220"/>
      <c r="T815" s="220"/>
      <c r="U815" s="230"/>
      <c r="V815" s="231"/>
      <c r="W815" s="232"/>
      <c r="X815" s="233"/>
      <c r="Y815" s="219"/>
      <c r="Z815" s="219"/>
    </row>
    <row r="816" spans="1:26" ht="15.75" thickBot="1">
      <c r="A816" s="225">
        <v>654</v>
      </c>
      <c r="B816" s="216"/>
      <c r="C816" s="216"/>
      <c r="D816" s="216"/>
      <c r="E816" s="216" t="s">
        <v>1942</v>
      </c>
      <c r="F816" s="226" t="s">
        <v>1943</v>
      </c>
      <c r="G816" s="227"/>
      <c r="H816" s="227"/>
      <c r="I816" s="216"/>
      <c r="J816" s="225">
        <v>1600</v>
      </c>
      <c r="K816" s="228">
        <v>1.8171296296296297E-3</v>
      </c>
      <c r="L816" s="225" t="s">
        <v>1867</v>
      </c>
      <c r="M816" s="219"/>
      <c r="N816" s="219"/>
      <c r="O816" s="216"/>
      <c r="P816" s="216"/>
      <c r="Q816" s="216"/>
      <c r="R816" s="220"/>
      <c r="S816" s="220"/>
      <c r="T816" s="220"/>
      <c r="U816" s="230"/>
      <c r="V816" s="231"/>
      <c r="W816" s="232"/>
      <c r="X816" s="233"/>
      <c r="Y816" s="219"/>
      <c r="Z816" s="219"/>
    </row>
    <row r="817" spans="1:26" ht="15.75" thickBot="1">
      <c r="A817" s="225">
        <v>655</v>
      </c>
      <c r="B817" s="216"/>
      <c r="C817" s="216"/>
      <c r="D817" s="216"/>
      <c r="E817" s="216" t="s">
        <v>1944</v>
      </c>
      <c r="F817" s="226" t="s">
        <v>1945</v>
      </c>
      <c r="G817" s="227"/>
      <c r="H817" s="227"/>
      <c r="I817" s="216"/>
      <c r="J817" s="225">
        <v>1200</v>
      </c>
      <c r="K817" s="228">
        <v>1.2152777777777778E-3</v>
      </c>
      <c r="L817" s="225" t="s">
        <v>1946</v>
      </c>
      <c r="M817" s="219"/>
      <c r="N817" s="219"/>
      <c r="O817" s="216"/>
      <c r="P817" s="216"/>
      <c r="Q817" s="216"/>
      <c r="R817" s="220"/>
      <c r="S817" s="220"/>
      <c r="T817" s="220"/>
      <c r="U817" s="230"/>
      <c r="V817" s="231"/>
      <c r="W817" s="232"/>
      <c r="X817" s="233"/>
      <c r="Y817" s="219"/>
      <c r="Z817" s="219"/>
    </row>
    <row r="818" spans="1:26" ht="15.75" thickBot="1">
      <c r="A818" s="225">
        <v>656</v>
      </c>
      <c r="B818" s="216"/>
      <c r="C818" s="216"/>
      <c r="D818" s="216"/>
      <c r="E818" s="216" t="s">
        <v>1947</v>
      </c>
      <c r="F818" s="226" t="s">
        <v>1948</v>
      </c>
      <c r="G818" s="227"/>
      <c r="H818" s="227"/>
      <c r="I818" s="216"/>
      <c r="J818" s="225">
        <v>2300</v>
      </c>
      <c r="K818" s="228">
        <v>3.7962962962962963E-3</v>
      </c>
      <c r="L818" s="225" t="s">
        <v>1946</v>
      </c>
      <c r="M818" s="219"/>
      <c r="N818" s="219"/>
      <c r="O818" s="216"/>
      <c r="P818" s="216"/>
      <c r="Q818" s="216"/>
      <c r="R818" s="220"/>
      <c r="S818" s="220"/>
      <c r="T818" s="220"/>
      <c r="U818" s="230"/>
      <c r="V818" s="231"/>
      <c r="W818" s="232"/>
      <c r="X818" s="233"/>
      <c r="Y818" s="219"/>
      <c r="Z818" s="219"/>
    </row>
    <row r="819" spans="1:26" ht="15.75" thickBot="1">
      <c r="A819" s="225">
        <v>657</v>
      </c>
      <c r="B819" s="216"/>
      <c r="C819" s="216"/>
      <c r="D819" s="216"/>
      <c r="E819" s="216" t="s">
        <v>1949</v>
      </c>
      <c r="F819" s="226" t="s">
        <v>1950</v>
      </c>
      <c r="G819" s="227"/>
      <c r="H819" s="227"/>
      <c r="I819" s="216"/>
      <c r="J819" s="225">
        <v>2600</v>
      </c>
      <c r="K819" s="228">
        <v>1.2916666666666667E-2</v>
      </c>
      <c r="L819" s="225" t="s">
        <v>1946</v>
      </c>
      <c r="M819" s="219"/>
      <c r="N819" s="219"/>
      <c r="O819" s="216"/>
      <c r="P819" s="216"/>
      <c r="Q819" s="216"/>
      <c r="R819" s="220"/>
      <c r="S819" s="220"/>
      <c r="T819" s="220"/>
      <c r="U819" s="230"/>
      <c r="V819" s="231"/>
      <c r="W819" s="232"/>
      <c r="X819" s="233"/>
      <c r="Y819" s="219"/>
      <c r="Z819" s="219"/>
    </row>
    <row r="820" spans="1:26" ht="15.75" thickBot="1">
      <c r="A820" s="225">
        <v>658</v>
      </c>
      <c r="B820" s="216"/>
      <c r="C820" s="216"/>
      <c r="D820" s="216"/>
      <c r="E820" s="216" t="s">
        <v>1951</v>
      </c>
      <c r="F820" s="226" t="s">
        <v>1952</v>
      </c>
      <c r="G820" s="227"/>
      <c r="H820" s="227"/>
      <c r="I820" s="216"/>
      <c r="J820" s="225">
        <v>5800</v>
      </c>
      <c r="K820" s="228">
        <v>4.0046296296296297E-3</v>
      </c>
      <c r="L820" s="225" t="s">
        <v>1946</v>
      </c>
      <c r="M820" s="219"/>
      <c r="N820" s="219"/>
      <c r="O820" s="216"/>
      <c r="P820" s="216"/>
      <c r="Q820" s="216"/>
      <c r="R820" s="220"/>
      <c r="S820" s="220"/>
      <c r="T820" s="220"/>
      <c r="U820" s="230"/>
      <c r="V820" s="231"/>
      <c r="W820" s="232"/>
      <c r="X820" s="233"/>
      <c r="Y820" s="219"/>
      <c r="Z820" s="219"/>
    </row>
    <row r="821" spans="1:26" ht="15.75" thickBot="1">
      <c r="A821" s="225">
        <v>659</v>
      </c>
      <c r="B821" s="216"/>
      <c r="C821" s="216"/>
      <c r="D821" s="216"/>
      <c r="E821" s="216" t="s">
        <v>1953</v>
      </c>
      <c r="F821" s="226" t="s">
        <v>1954</v>
      </c>
      <c r="G821" s="227"/>
      <c r="H821" s="227"/>
      <c r="I821" s="216"/>
      <c r="J821" s="225">
        <v>1400</v>
      </c>
      <c r="K821" s="228">
        <v>1.8634259259259261E-3</v>
      </c>
      <c r="L821" s="225" t="s">
        <v>1946</v>
      </c>
      <c r="M821" s="219"/>
      <c r="N821" s="219"/>
      <c r="O821" s="216"/>
      <c r="P821" s="216"/>
      <c r="Q821" s="216"/>
      <c r="R821" s="220"/>
      <c r="S821" s="220"/>
      <c r="T821" s="220"/>
      <c r="U821" s="230"/>
      <c r="V821" s="231"/>
      <c r="W821" s="232"/>
      <c r="X821" s="233"/>
      <c r="Y821" s="219"/>
      <c r="Z821" s="219"/>
    </row>
    <row r="822" spans="1:26" ht="15.75" thickBot="1">
      <c r="A822" s="225">
        <v>660</v>
      </c>
      <c r="B822" s="216"/>
      <c r="C822" s="216"/>
      <c r="D822" s="216"/>
      <c r="E822" s="216" t="s">
        <v>1955</v>
      </c>
      <c r="F822" s="226" t="s">
        <v>1956</v>
      </c>
      <c r="G822" s="227"/>
      <c r="H822" s="227"/>
      <c r="I822" s="216"/>
      <c r="J822" s="225">
        <v>773</v>
      </c>
      <c r="K822" s="228">
        <v>1.5624999999999999E-3</v>
      </c>
      <c r="L822" s="225" t="s">
        <v>1946</v>
      </c>
      <c r="M822" s="219"/>
      <c r="N822" s="219"/>
      <c r="O822" s="216"/>
      <c r="P822" s="216"/>
      <c r="Q822" s="216"/>
      <c r="R822" s="220"/>
      <c r="S822" s="220"/>
      <c r="T822" s="220"/>
      <c r="U822" s="230"/>
      <c r="V822" s="231"/>
      <c r="W822" s="232"/>
      <c r="X822" s="233"/>
      <c r="Y822" s="219"/>
      <c r="Z822" s="219"/>
    </row>
    <row r="823" spans="1:26" ht="15.75" thickBot="1">
      <c r="A823" s="225">
        <v>661</v>
      </c>
      <c r="B823" s="216"/>
      <c r="C823" s="216"/>
      <c r="D823" s="216"/>
      <c r="E823" s="216" t="s">
        <v>1957</v>
      </c>
      <c r="F823" s="226" t="s">
        <v>1958</v>
      </c>
      <c r="G823" s="227"/>
      <c r="H823" s="227"/>
      <c r="I823" s="216"/>
      <c r="J823" s="225">
        <v>1000</v>
      </c>
      <c r="K823" s="228">
        <v>8.0324074074074065E-3</v>
      </c>
      <c r="L823" s="225" t="s">
        <v>1946</v>
      </c>
      <c r="M823" s="219"/>
      <c r="N823" s="219"/>
      <c r="O823" s="216"/>
      <c r="P823" s="216"/>
      <c r="Q823" s="216"/>
      <c r="R823" s="220"/>
      <c r="S823" s="220"/>
      <c r="T823" s="220"/>
      <c r="U823" s="230"/>
      <c r="V823" s="231"/>
      <c r="W823" s="232"/>
      <c r="X823" s="233"/>
      <c r="Y823" s="219"/>
      <c r="Z823" s="219"/>
    </row>
    <row r="824" spans="1:26" ht="15.75" thickBot="1">
      <c r="A824" s="225">
        <v>662</v>
      </c>
      <c r="B824" s="216"/>
      <c r="C824" s="216"/>
      <c r="D824" s="216"/>
      <c r="E824" s="216" t="s">
        <v>1959</v>
      </c>
      <c r="F824" s="226" t="s">
        <v>1960</v>
      </c>
      <c r="G824" s="227"/>
      <c r="H824" s="227"/>
      <c r="I824" s="216"/>
      <c r="J824" s="225">
        <v>536</v>
      </c>
      <c r="K824" s="228">
        <v>1.0995370370370371E-3</v>
      </c>
      <c r="L824" s="225" t="s">
        <v>1946</v>
      </c>
      <c r="M824" s="219"/>
      <c r="N824" s="219"/>
      <c r="O824" s="216"/>
      <c r="P824" s="216"/>
      <c r="Q824" s="216"/>
      <c r="R824" s="220"/>
      <c r="S824" s="220"/>
      <c r="T824" s="220"/>
      <c r="U824" s="230"/>
      <c r="V824" s="231"/>
      <c r="W824" s="232"/>
      <c r="X824" s="233"/>
      <c r="Y824" s="219"/>
      <c r="Z824" s="219"/>
    </row>
    <row r="825" spans="1:26" ht="15.75" thickBot="1">
      <c r="A825" s="225">
        <v>663</v>
      </c>
      <c r="B825" s="216"/>
      <c r="C825" s="219"/>
      <c r="D825" s="216"/>
      <c r="E825" s="216" t="s">
        <v>1961</v>
      </c>
      <c r="F825" s="226" t="s">
        <v>1962</v>
      </c>
      <c r="G825" s="227"/>
      <c r="H825" s="227"/>
      <c r="I825" s="216"/>
      <c r="J825" s="225">
        <v>912</v>
      </c>
      <c r="K825" s="246">
        <v>1.9444444444444442E-3</v>
      </c>
      <c r="L825" s="225" t="s">
        <v>1946</v>
      </c>
      <c r="M825" s="219"/>
      <c r="N825" s="219"/>
      <c r="O825" s="216"/>
      <c r="P825" s="216"/>
      <c r="Q825" s="216"/>
      <c r="R825" s="220"/>
      <c r="S825" s="220"/>
      <c r="T825" s="220"/>
      <c r="U825" s="230"/>
      <c r="V825" s="231"/>
      <c r="W825" s="232"/>
      <c r="X825" s="233"/>
      <c r="Y825" s="219"/>
      <c r="Z825" s="219"/>
    </row>
    <row r="826" spans="1:26" ht="15.75" thickBot="1">
      <c r="A826" s="225">
        <v>664</v>
      </c>
      <c r="B826" s="216"/>
      <c r="C826" s="219"/>
      <c r="D826" s="216"/>
      <c r="E826" s="216" t="s">
        <v>1963</v>
      </c>
      <c r="F826" s="226" t="s">
        <v>1964</v>
      </c>
      <c r="G826" s="227"/>
      <c r="H826" s="227"/>
      <c r="I826" s="216"/>
      <c r="J826" s="225">
        <v>4100</v>
      </c>
      <c r="K826" s="246">
        <v>4.3020833333333335E-2</v>
      </c>
      <c r="L826" s="225" t="s">
        <v>1946</v>
      </c>
      <c r="M826" s="219"/>
      <c r="N826" s="219"/>
      <c r="O826" s="216"/>
      <c r="P826" s="216"/>
      <c r="Q826" s="216"/>
      <c r="R826" s="220"/>
      <c r="S826" s="220"/>
      <c r="T826" s="220"/>
      <c r="U826" s="230"/>
      <c r="V826" s="231"/>
      <c r="W826" s="232"/>
      <c r="X826" s="233"/>
      <c r="Y826" s="219"/>
      <c r="Z826" s="219"/>
    </row>
    <row r="827" spans="1:26" ht="15.75" thickBot="1">
      <c r="A827" s="225">
        <v>665</v>
      </c>
      <c r="B827" s="216"/>
      <c r="C827" s="219"/>
      <c r="D827" s="216"/>
      <c r="E827" s="216" t="s">
        <v>1965</v>
      </c>
      <c r="F827" s="226" t="s">
        <v>1966</v>
      </c>
      <c r="G827" s="227"/>
      <c r="H827" s="227"/>
      <c r="I827" s="216"/>
      <c r="J827" s="225">
        <v>728</v>
      </c>
      <c r="K827" s="246">
        <v>1.5740740740740741E-3</v>
      </c>
      <c r="L827" s="225" t="s">
        <v>1946</v>
      </c>
      <c r="M827" s="219"/>
      <c r="N827" s="219"/>
      <c r="O827" s="216"/>
      <c r="P827" s="216"/>
      <c r="Q827" s="216"/>
      <c r="R827" s="220"/>
      <c r="S827" s="220"/>
      <c r="T827" s="220"/>
      <c r="U827" s="230"/>
      <c r="V827" s="231"/>
      <c r="W827" s="232"/>
      <c r="X827" s="233"/>
      <c r="Y827" s="219"/>
      <c r="Z827" s="219"/>
    </row>
    <row r="828" spans="1:26" ht="15.75" thickBot="1">
      <c r="A828" s="225">
        <v>666</v>
      </c>
      <c r="B828" s="216"/>
      <c r="C828" s="219"/>
      <c r="D828" s="216"/>
      <c r="E828" s="216" t="s">
        <v>1967</v>
      </c>
      <c r="F828" s="226" t="s">
        <v>1968</v>
      </c>
      <c r="G828" s="227"/>
      <c r="H828" s="227"/>
      <c r="I828" s="216"/>
      <c r="J828" s="225">
        <v>2700</v>
      </c>
      <c r="K828" s="246">
        <v>2.4074074074074076E-3</v>
      </c>
      <c r="L828" s="225" t="s">
        <v>1946</v>
      </c>
      <c r="M828" s="219"/>
      <c r="N828" s="219"/>
      <c r="O828" s="216"/>
      <c r="P828" s="216"/>
      <c r="Q828" s="216"/>
      <c r="R828" s="220"/>
      <c r="S828" s="220"/>
      <c r="T828" s="220"/>
      <c r="U828" s="230"/>
      <c r="V828" s="231"/>
      <c r="W828" s="232"/>
      <c r="X828" s="233"/>
      <c r="Y828" s="219"/>
      <c r="Z828" s="219"/>
    </row>
    <row r="829" spans="1:26" ht="15.75" thickBot="1">
      <c r="A829" s="225">
        <v>667</v>
      </c>
      <c r="B829" s="216"/>
      <c r="C829" s="219"/>
      <c r="D829" s="216"/>
      <c r="E829" s="216" t="s">
        <v>1969</v>
      </c>
      <c r="F829" s="226" t="s">
        <v>1970</v>
      </c>
      <c r="G829" s="227"/>
      <c r="H829" s="227"/>
      <c r="I829" s="216"/>
      <c r="J829" s="225">
        <v>2400</v>
      </c>
      <c r="K829" s="246">
        <v>2.1180555555555553E-3</v>
      </c>
      <c r="L829" s="225" t="s">
        <v>1946</v>
      </c>
      <c r="M829" s="219"/>
      <c r="N829" s="219"/>
      <c r="O829" s="216"/>
      <c r="P829" s="216"/>
      <c r="Q829" s="216"/>
      <c r="R829" s="220"/>
      <c r="S829" s="220"/>
      <c r="T829" s="220"/>
      <c r="U829" s="230"/>
      <c r="V829" s="231"/>
      <c r="W829" s="232"/>
      <c r="X829" s="233"/>
      <c r="Y829" s="219"/>
      <c r="Z829" s="219"/>
    </row>
    <row r="830" spans="1:26" ht="15.75" thickBot="1">
      <c r="A830" s="225">
        <v>668</v>
      </c>
      <c r="B830" s="216"/>
      <c r="C830" s="219"/>
      <c r="D830" s="216"/>
      <c r="E830" s="216" t="s">
        <v>1971</v>
      </c>
      <c r="F830" s="226" t="s">
        <v>1972</v>
      </c>
      <c r="G830" s="227"/>
      <c r="H830" s="227"/>
      <c r="I830" s="216"/>
      <c r="J830" s="225">
        <v>2800</v>
      </c>
      <c r="K830" s="246">
        <v>6.9444444444444441E-3</v>
      </c>
      <c r="L830" s="225" t="s">
        <v>1946</v>
      </c>
      <c r="M830" s="219"/>
      <c r="N830" s="219"/>
      <c r="O830" s="216"/>
      <c r="P830" s="216"/>
      <c r="Q830" s="216"/>
      <c r="R830" s="220"/>
      <c r="S830" s="220"/>
      <c r="T830" s="220"/>
      <c r="U830" s="230"/>
      <c r="V830" s="231"/>
      <c r="W830" s="232"/>
      <c r="X830" s="233"/>
      <c r="Y830" s="219"/>
      <c r="Z830" s="219"/>
    </row>
    <row r="831" spans="1:26" ht="15.75" thickBot="1">
      <c r="A831" s="225">
        <v>669</v>
      </c>
      <c r="B831" s="216"/>
      <c r="C831" s="219"/>
      <c r="D831" s="216"/>
      <c r="E831" s="216" t="s">
        <v>1973</v>
      </c>
      <c r="F831" s="226" t="s">
        <v>1974</v>
      </c>
      <c r="G831" s="227"/>
      <c r="H831" s="227"/>
      <c r="I831" s="216"/>
      <c r="J831" s="225">
        <v>14000</v>
      </c>
      <c r="K831" s="246">
        <v>5.6435185185185179E-2</v>
      </c>
      <c r="L831" s="225" t="s">
        <v>1975</v>
      </c>
      <c r="M831" s="219"/>
      <c r="N831" s="219"/>
      <c r="O831" s="216"/>
      <c r="P831" s="216"/>
      <c r="Q831" s="216"/>
      <c r="R831" s="220"/>
      <c r="S831" s="220"/>
      <c r="T831" s="220"/>
      <c r="U831" s="230"/>
      <c r="V831" s="231"/>
      <c r="W831" s="232"/>
      <c r="X831" s="233"/>
      <c r="Y831" s="219"/>
      <c r="Z831" s="219"/>
    </row>
    <row r="832" spans="1:26" ht="15.75" thickBot="1">
      <c r="A832" s="225">
        <v>670</v>
      </c>
      <c r="B832" s="216"/>
      <c r="C832" s="219"/>
      <c r="D832" s="216"/>
      <c r="E832" s="216" t="s">
        <v>1976</v>
      </c>
      <c r="F832" s="226" t="s">
        <v>1977</v>
      </c>
      <c r="G832" s="227"/>
      <c r="H832" s="227"/>
      <c r="I832" s="216"/>
      <c r="J832" s="225">
        <v>15000</v>
      </c>
      <c r="K832" s="246">
        <v>6.3055555555555545E-2</v>
      </c>
      <c r="L832" s="225" t="s">
        <v>1975</v>
      </c>
      <c r="M832" s="219"/>
      <c r="N832" s="219"/>
      <c r="O832" s="216"/>
      <c r="P832" s="216"/>
      <c r="Q832" s="216"/>
      <c r="R832" s="220"/>
      <c r="S832" s="220"/>
      <c r="T832" s="220"/>
      <c r="U832" s="230"/>
      <c r="V832" s="231"/>
      <c r="W832" s="232"/>
      <c r="X832" s="233"/>
      <c r="Y832" s="219"/>
      <c r="Z832" s="219"/>
    </row>
    <row r="833" spans="1:26" ht="15.75" thickBot="1">
      <c r="A833" s="225">
        <v>671</v>
      </c>
      <c r="B833" s="216"/>
      <c r="C833" s="219"/>
      <c r="D833" s="216"/>
      <c r="E833" s="216" t="s">
        <v>1978</v>
      </c>
      <c r="F833" s="226" t="s">
        <v>1979</v>
      </c>
      <c r="G833" s="227"/>
      <c r="H833" s="227"/>
      <c r="I833" s="216"/>
      <c r="J833" s="225">
        <v>6800</v>
      </c>
      <c r="K833" s="246">
        <v>5.9907407407407409E-2</v>
      </c>
      <c r="L833" s="225" t="s">
        <v>1975</v>
      </c>
      <c r="M833" s="219"/>
      <c r="N833" s="219"/>
      <c r="O833" s="216"/>
      <c r="P833" s="216"/>
      <c r="Q833" s="216"/>
      <c r="R833" s="220"/>
      <c r="S833" s="220"/>
      <c r="T833" s="220"/>
      <c r="U833" s="230"/>
      <c r="V833" s="231"/>
      <c r="W833" s="232"/>
      <c r="X833" s="233"/>
      <c r="Y833" s="219"/>
      <c r="Z833" s="219"/>
    </row>
    <row r="834" spans="1:26" ht="15.75" thickBot="1">
      <c r="A834" s="225">
        <v>672</v>
      </c>
      <c r="B834" s="216"/>
      <c r="C834" s="219"/>
      <c r="D834" s="216"/>
      <c r="E834" s="216" t="s">
        <v>1980</v>
      </c>
      <c r="F834" s="226" t="s">
        <v>1981</v>
      </c>
      <c r="G834" s="227"/>
      <c r="H834" s="227"/>
      <c r="I834" s="216"/>
      <c r="J834" s="225">
        <v>27000</v>
      </c>
      <c r="K834" s="246">
        <v>2.4826388888888887E-2</v>
      </c>
      <c r="L834" s="225" t="s">
        <v>1975</v>
      </c>
      <c r="M834" s="219"/>
      <c r="N834" s="219"/>
      <c r="O834" s="216"/>
      <c r="P834" s="216"/>
      <c r="Q834" s="216"/>
      <c r="R834" s="220"/>
      <c r="S834" s="220"/>
      <c r="T834" s="220"/>
      <c r="U834" s="230"/>
      <c r="V834" s="231"/>
      <c r="W834" s="232"/>
      <c r="X834" s="233"/>
      <c r="Y834" s="219"/>
      <c r="Z834" s="219"/>
    </row>
    <row r="835" spans="1:26" ht="15.75" thickBot="1">
      <c r="A835" s="225">
        <v>673</v>
      </c>
      <c r="B835" s="216"/>
      <c r="C835" s="219"/>
      <c r="D835" s="216"/>
      <c r="E835" s="216" t="s">
        <v>1982</v>
      </c>
      <c r="F835" s="226" t="s">
        <v>1983</v>
      </c>
      <c r="G835" s="227"/>
      <c r="H835" s="227"/>
      <c r="I835" s="216"/>
      <c r="J835" s="225">
        <v>10000</v>
      </c>
      <c r="K835" s="246">
        <v>2.8564814814814817E-2</v>
      </c>
      <c r="L835" s="225" t="s">
        <v>1984</v>
      </c>
      <c r="M835" s="219"/>
      <c r="N835" s="219"/>
      <c r="O835" s="216"/>
      <c r="P835" s="216"/>
      <c r="Q835" s="216"/>
      <c r="R835" s="220"/>
      <c r="S835" s="220"/>
      <c r="T835" s="220"/>
      <c r="U835" s="230"/>
      <c r="V835" s="231"/>
      <c r="W835" s="232"/>
      <c r="X835" s="233"/>
      <c r="Y835" s="219"/>
      <c r="Z835" s="219"/>
    </row>
    <row r="836" spans="1:26" ht="15.75" thickBot="1">
      <c r="A836" s="225">
        <v>674</v>
      </c>
      <c r="B836" s="216"/>
      <c r="C836" s="219"/>
      <c r="D836" s="216"/>
      <c r="E836" s="216" t="s">
        <v>1985</v>
      </c>
      <c r="F836" s="226" t="s">
        <v>1986</v>
      </c>
      <c r="G836" s="227"/>
      <c r="H836" s="227"/>
      <c r="I836" s="216"/>
      <c r="J836" s="225">
        <v>1800</v>
      </c>
      <c r="K836" s="246">
        <v>3.9583333333333337E-3</v>
      </c>
      <c r="L836" s="225" t="s">
        <v>1984</v>
      </c>
      <c r="M836" s="219"/>
      <c r="N836" s="219"/>
      <c r="O836" s="216"/>
      <c r="P836" s="216"/>
      <c r="Q836" s="216"/>
      <c r="R836" s="220"/>
      <c r="S836" s="220"/>
      <c r="T836" s="220"/>
      <c r="U836" s="230"/>
      <c r="V836" s="231"/>
      <c r="W836" s="232"/>
      <c r="X836" s="233"/>
      <c r="Y836" s="219"/>
      <c r="Z836" s="219"/>
    </row>
    <row r="837" spans="1:26" ht="15.75" thickBot="1">
      <c r="A837" s="225">
        <v>675</v>
      </c>
      <c r="B837" s="216"/>
      <c r="C837" s="219"/>
      <c r="D837" s="216"/>
      <c r="E837" s="216" t="s">
        <v>1987</v>
      </c>
      <c r="F837" s="226" t="s">
        <v>1988</v>
      </c>
      <c r="G837" s="227"/>
      <c r="H837" s="227"/>
      <c r="I837" s="216"/>
      <c r="J837" s="225">
        <v>2300</v>
      </c>
      <c r="K837" s="246">
        <v>6.3078703703703706E-2</v>
      </c>
      <c r="L837" s="225" t="s">
        <v>1984</v>
      </c>
      <c r="M837" s="219"/>
      <c r="N837" s="219"/>
      <c r="O837" s="216"/>
      <c r="P837" s="216"/>
      <c r="Q837" s="216"/>
      <c r="R837" s="220"/>
      <c r="S837" s="220"/>
      <c r="T837" s="220"/>
      <c r="U837" s="230"/>
      <c r="V837" s="231"/>
      <c r="W837" s="232"/>
      <c r="X837" s="233"/>
      <c r="Y837" s="219"/>
      <c r="Z837" s="219"/>
    </row>
    <row r="838" spans="1:26" ht="15.75" thickBot="1">
      <c r="A838" s="225">
        <v>676</v>
      </c>
      <c r="B838" s="216"/>
      <c r="C838" s="219"/>
      <c r="D838" s="216"/>
      <c r="E838" s="216" t="s">
        <v>1989</v>
      </c>
      <c r="F838" s="226" t="s">
        <v>1990</v>
      </c>
      <c r="G838" s="227"/>
      <c r="H838" s="227"/>
      <c r="I838" s="216"/>
      <c r="J838" s="225">
        <v>1200</v>
      </c>
      <c r="K838" s="246">
        <v>6.5277777777777782E-2</v>
      </c>
      <c r="L838" s="225" t="s">
        <v>1984</v>
      </c>
      <c r="M838" s="219"/>
      <c r="N838" s="219"/>
      <c r="O838" s="216"/>
      <c r="P838" s="216"/>
      <c r="Q838" s="216"/>
      <c r="R838" s="220"/>
      <c r="S838" s="220"/>
      <c r="T838" s="220"/>
      <c r="U838" s="230"/>
      <c r="V838" s="231"/>
      <c r="W838" s="232"/>
      <c r="X838" s="233"/>
      <c r="Y838" s="219"/>
      <c r="Z838" s="219"/>
    </row>
    <row r="839" spans="1:26" ht="15.75" thickBot="1">
      <c r="A839" s="225">
        <v>677</v>
      </c>
      <c r="B839" s="216"/>
      <c r="C839" s="219"/>
      <c r="D839" s="216"/>
      <c r="E839" s="216" t="s">
        <v>1991</v>
      </c>
      <c r="F839" s="226" t="s">
        <v>1992</v>
      </c>
      <c r="G839" s="227"/>
      <c r="H839" s="227"/>
      <c r="I839" s="216"/>
      <c r="J839" s="225">
        <v>3700</v>
      </c>
      <c r="K839" s="246">
        <v>3.770833333333333E-2</v>
      </c>
      <c r="L839" s="225" t="s">
        <v>1984</v>
      </c>
      <c r="M839" s="219"/>
      <c r="N839" s="219"/>
      <c r="O839" s="216"/>
      <c r="P839" s="216"/>
      <c r="Q839" s="216"/>
      <c r="R839" s="220"/>
      <c r="S839" s="220"/>
      <c r="T839" s="220"/>
      <c r="U839" s="230"/>
      <c r="V839" s="231"/>
      <c r="W839" s="232"/>
      <c r="X839" s="233"/>
      <c r="Y839" s="219"/>
      <c r="Z839" s="219"/>
    </row>
    <row r="840" spans="1:26" ht="15.75" thickBot="1">
      <c r="A840" s="225">
        <v>678</v>
      </c>
      <c r="B840" s="216"/>
      <c r="C840" s="219"/>
      <c r="D840" s="216"/>
      <c r="E840" s="216" t="s">
        <v>1993</v>
      </c>
      <c r="F840" s="226" t="s">
        <v>1994</v>
      </c>
      <c r="G840" s="227"/>
      <c r="H840" s="227"/>
      <c r="I840" s="216"/>
      <c r="J840" s="225">
        <v>6700</v>
      </c>
      <c r="K840" s="246">
        <v>2.7349537037037037E-2</v>
      </c>
      <c r="L840" s="225" t="s">
        <v>1984</v>
      </c>
      <c r="M840" s="219"/>
      <c r="N840" s="219"/>
      <c r="O840" s="216"/>
      <c r="P840" s="216"/>
      <c r="Q840" s="216"/>
      <c r="R840" s="220"/>
      <c r="S840" s="220"/>
      <c r="T840" s="220"/>
      <c r="U840" s="230"/>
      <c r="V840" s="231"/>
      <c r="W840" s="232"/>
      <c r="X840" s="233"/>
      <c r="Y840" s="219"/>
      <c r="Z840" s="219"/>
    </row>
    <row r="841" spans="1:26" ht="15.75" thickBot="1">
      <c r="A841" s="225">
        <v>679</v>
      </c>
      <c r="B841" s="216"/>
      <c r="C841" s="219"/>
      <c r="D841" s="216"/>
      <c r="E841" s="216" t="s">
        <v>1995</v>
      </c>
      <c r="F841" s="226" t="s">
        <v>1996</v>
      </c>
      <c r="G841" s="227"/>
      <c r="H841" s="227"/>
      <c r="I841" s="216"/>
      <c r="J841" s="225">
        <v>3700</v>
      </c>
      <c r="K841" s="246">
        <v>2.8599537037037034E-2</v>
      </c>
      <c r="L841" s="225" t="s">
        <v>1984</v>
      </c>
      <c r="M841" s="219"/>
      <c r="N841" s="219"/>
      <c r="O841" s="216"/>
      <c r="P841" s="216"/>
      <c r="Q841" s="216"/>
      <c r="R841" s="220"/>
      <c r="S841" s="220"/>
      <c r="T841" s="220"/>
      <c r="U841" s="230"/>
      <c r="V841" s="231"/>
      <c r="W841" s="232"/>
      <c r="X841" s="233"/>
      <c r="Y841" s="219"/>
      <c r="Z841" s="219"/>
    </row>
    <row r="842" spans="1:26" ht="15.75" thickBot="1">
      <c r="A842" s="225">
        <v>680</v>
      </c>
      <c r="B842" s="216"/>
      <c r="C842" s="219"/>
      <c r="D842" s="216"/>
      <c r="E842" s="216" t="s">
        <v>1997</v>
      </c>
      <c r="F842" s="226" t="s">
        <v>1998</v>
      </c>
      <c r="G842" s="227"/>
      <c r="H842" s="227"/>
      <c r="I842" s="216"/>
      <c r="J842" s="225">
        <v>6500</v>
      </c>
      <c r="K842" s="246">
        <v>2.2685185185185183E-2</v>
      </c>
      <c r="L842" s="225" t="s">
        <v>1984</v>
      </c>
      <c r="M842" s="219"/>
      <c r="N842" s="219"/>
      <c r="O842" s="216"/>
      <c r="P842" s="216"/>
      <c r="Q842" s="216"/>
      <c r="R842" s="220"/>
      <c r="S842" s="220"/>
      <c r="T842" s="220"/>
      <c r="U842" s="230"/>
      <c r="V842" s="231"/>
      <c r="W842" s="232"/>
      <c r="X842" s="233"/>
      <c r="Y842" s="219"/>
      <c r="Z842" s="219"/>
    </row>
    <row r="843" spans="1:26" ht="15.75" thickBot="1">
      <c r="A843" s="225">
        <v>681</v>
      </c>
      <c r="B843" s="216"/>
      <c r="C843" s="219"/>
      <c r="D843" s="216"/>
      <c r="E843" s="216" t="s">
        <v>1999</v>
      </c>
      <c r="F843" s="226" t="s">
        <v>2000</v>
      </c>
      <c r="G843" s="227"/>
      <c r="H843" s="227"/>
      <c r="I843" s="216"/>
      <c r="J843" s="225">
        <v>2900</v>
      </c>
      <c r="K843" s="246">
        <v>2.8888888888888891E-2</v>
      </c>
      <c r="L843" s="225" t="s">
        <v>1984</v>
      </c>
      <c r="M843" s="219"/>
      <c r="N843" s="219"/>
      <c r="O843" s="216"/>
      <c r="P843" s="216"/>
      <c r="Q843" s="216"/>
      <c r="R843" s="220"/>
      <c r="S843" s="220"/>
      <c r="T843" s="220"/>
      <c r="U843" s="230"/>
      <c r="V843" s="231"/>
      <c r="W843" s="232"/>
      <c r="X843" s="233"/>
      <c r="Y843" s="219"/>
      <c r="Z843" s="219"/>
    </row>
    <row r="844" spans="1:26" ht="15.75" thickBot="1">
      <c r="A844" s="225">
        <v>682</v>
      </c>
      <c r="B844" s="216"/>
      <c r="C844" s="219"/>
      <c r="D844" s="216"/>
      <c r="E844" s="216" t="s">
        <v>2001</v>
      </c>
      <c r="F844" s="226" t="s">
        <v>2002</v>
      </c>
      <c r="G844" s="227"/>
      <c r="H844" s="227"/>
      <c r="I844" s="216"/>
      <c r="J844" s="225">
        <v>2100</v>
      </c>
      <c r="K844" s="246">
        <v>2.6261574074074076E-2</v>
      </c>
      <c r="L844" s="225" t="s">
        <v>1984</v>
      </c>
      <c r="M844" s="219"/>
      <c r="N844" s="219"/>
      <c r="O844" s="216"/>
      <c r="P844" s="216"/>
      <c r="Q844" s="216"/>
      <c r="R844" s="220"/>
      <c r="S844" s="220"/>
      <c r="T844" s="220"/>
      <c r="U844" s="230"/>
      <c r="V844" s="231"/>
      <c r="W844" s="232"/>
      <c r="X844" s="233"/>
      <c r="Y844" s="219"/>
      <c r="Z844" s="219"/>
    </row>
    <row r="845" spans="1:26" ht="15.75" thickBot="1">
      <c r="A845" s="225">
        <v>683</v>
      </c>
      <c r="B845" s="216"/>
      <c r="C845" s="219"/>
      <c r="D845" s="216"/>
      <c r="E845" s="216" t="s">
        <v>2003</v>
      </c>
      <c r="F845" s="226" t="s">
        <v>2004</v>
      </c>
      <c r="G845" s="227"/>
      <c r="H845" s="227"/>
      <c r="I845" s="216"/>
      <c r="J845" s="225">
        <v>3000</v>
      </c>
      <c r="K845" s="246">
        <v>1.5324074074074073E-2</v>
      </c>
      <c r="L845" s="225" t="s">
        <v>1984</v>
      </c>
      <c r="M845" s="219"/>
      <c r="N845" s="219"/>
      <c r="O845" s="216"/>
      <c r="P845" s="216"/>
      <c r="Q845" s="216"/>
      <c r="R845" s="220"/>
      <c r="S845" s="220"/>
      <c r="T845" s="220"/>
      <c r="U845" s="230"/>
      <c r="V845" s="231"/>
      <c r="W845" s="232"/>
      <c r="X845" s="233"/>
      <c r="Y845" s="219"/>
      <c r="Z845" s="219"/>
    </row>
    <row r="846" spans="1:26" ht="15.75" thickBot="1">
      <c r="A846" s="225">
        <v>684</v>
      </c>
      <c r="B846" s="216"/>
      <c r="C846" s="219"/>
      <c r="D846" s="216"/>
      <c r="E846" s="216" t="s">
        <v>2005</v>
      </c>
      <c r="F846" s="226" t="s">
        <v>2006</v>
      </c>
      <c r="G846" s="227"/>
      <c r="H846" s="227"/>
      <c r="I846" s="216"/>
      <c r="J846" s="225">
        <v>5400</v>
      </c>
      <c r="K846" s="246">
        <v>1.9583333333333331E-2</v>
      </c>
      <c r="L846" s="225" t="s">
        <v>1984</v>
      </c>
      <c r="M846" s="219"/>
      <c r="N846" s="219"/>
      <c r="O846" s="216"/>
      <c r="P846" s="216"/>
      <c r="Q846" s="216"/>
      <c r="R846" s="220"/>
      <c r="S846" s="220"/>
      <c r="T846" s="220"/>
      <c r="U846" s="230"/>
      <c r="V846" s="231"/>
      <c r="W846" s="232"/>
      <c r="X846" s="233"/>
      <c r="Y846" s="219"/>
      <c r="Z846" s="219"/>
    </row>
    <row r="847" spans="1:26" ht="15.75" thickBot="1">
      <c r="A847" s="225">
        <v>685</v>
      </c>
      <c r="B847" s="216"/>
      <c r="C847" s="219"/>
      <c r="D847" s="216"/>
      <c r="E847" s="216" t="s">
        <v>2007</v>
      </c>
      <c r="F847" s="226" t="s">
        <v>2008</v>
      </c>
      <c r="G847" s="227"/>
      <c r="H847" s="227"/>
      <c r="I847" s="216"/>
      <c r="J847" s="225">
        <v>3300</v>
      </c>
      <c r="K847" s="246">
        <v>1.6331018518518519E-2</v>
      </c>
      <c r="L847" s="225" t="s">
        <v>1984</v>
      </c>
      <c r="M847" s="219"/>
      <c r="N847" s="219"/>
      <c r="O847" s="216"/>
      <c r="P847" s="216"/>
      <c r="Q847" s="216"/>
      <c r="R847" s="220"/>
      <c r="S847" s="220"/>
      <c r="T847" s="220"/>
      <c r="U847" s="230"/>
      <c r="V847" s="231"/>
      <c r="W847" s="232"/>
      <c r="X847" s="233"/>
      <c r="Y847" s="219"/>
      <c r="Z847" s="219"/>
    </row>
    <row r="848" spans="1:26" ht="15.75" thickBot="1">
      <c r="A848" s="225">
        <v>686</v>
      </c>
      <c r="B848" s="216"/>
      <c r="C848" s="219"/>
      <c r="D848" s="216"/>
      <c r="E848" s="216" t="s">
        <v>2009</v>
      </c>
      <c r="F848" s="226" t="s">
        <v>2010</v>
      </c>
      <c r="G848" s="227"/>
      <c r="H848" s="227"/>
      <c r="I848" s="216"/>
      <c r="J848" s="225">
        <v>2600</v>
      </c>
      <c r="K848" s="246">
        <v>2.1944444444444447E-2</v>
      </c>
      <c r="L848" s="225" t="s">
        <v>1984</v>
      </c>
      <c r="M848" s="219"/>
      <c r="N848" s="219"/>
      <c r="O848" s="216"/>
      <c r="P848" s="216"/>
      <c r="Q848" s="216"/>
      <c r="R848" s="220"/>
      <c r="S848" s="220"/>
      <c r="T848" s="220"/>
      <c r="U848" s="230"/>
      <c r="V848" s="231"/>
      <c r="W848" s="232"/>
      <c r="X848" s="233"/>
      <c r="Y848" s="219"/>
      <c r="Z848" s="219"/>
    </row>
    <row r="849" spans="1:26" ht="15.75" thickBot="1">
      <c r="A849" s="225">
        <v>687</v>
      </c>
      <c r="B849" s="216"/>
      <c r="C849" s="219"/>
      <c r="D849" s="216"/>
      <c r="E849" s="216" t="s">
        <v>2011</v>
      </c>
      <c r="F849" s="226" t="s">
        <v>2012</v>
      </c>
      <c r="G849" s="227"/>
      <c r="H849" s="227"/>
      <c r="I849" s="216"/>
      <c r="J849" s="225">
        <v>5800</v>
      </c>
      <c r="K849" s="246">
        <v>6.122685185185185E-3</v>
      </c>
      <c r="L849" s="225" t="s">
        <v>1984</v>
      </c>
      <c r="M849" s="219"/>
      <c r="N849" s="219"/>
      <c r="O849" s="216"/>
      <c r="P849" s="216"/>
      <c r="Q849" s="216"/>
      <c r="R849" s="220"/>
      <c r="S849" s="220"/>
      <c r="T849" s="220"/>
      <c r="U849" s="230"/>
      <c r="V849" s="231"/>
      <c r="W849" s="232"/>
      <c r="X849" s="233"/>
      <c r="Y849" s="219"/>
      <c r="Z849" s="219"/>
    </row>
    <row r="850" spans="1:26" ht="15.75" thickBot="1">
      <c r="A850" s="225">
        <v>688</v>
      </c>
      <c r="B850" s="216"/>
      <c r="C850" s="219"/>
      <c r="D850" s="216"/>
      <c r="E850" s="216" t="s">
        <v>2013</v>
      </c>
      <c r="F850" s="226" t="s">
        <v>2014</v>
      </c>
      <c r="G850" s="227"/>
      <c r="H850" s="227"/>
      <c r="I850" s="216"/>
      <c r="J850" s="225">
        <v>12000</v>
      </c>
      <c r="K850" s="246">
        <v>7.905092592592592E-3</v>
      </c>
      <c r="L850" s="225" t="s">
        <v>1984</v>
      </c>
      <c r="M850" s="219"/>
      <c r="N850" s="219"/>
      <c r="O850" s="216"/>
      <c r="P850" s="216"/>
      <c r="Q850" s="216"/>
      <c r="R850" s="220"/>
      <c r="S850" s="220"/>
      <c r="T850" s="220"/>
      <c r="U850" s="230"/>
      <c r="V850" s="231"/>
      <c r="W850" s="232"/>
      <c r="X850" s="233"/>
      <c r="Y850" s="219"/>
      <c r="Z850" s="219"/>
    </row>
    <row r="851" spans="1:26" ht="15.75" thickBot="1">
      <c r="A851" s="225">
        <v>689</v>
      </c>
      <c r="B851" s="216"/>
      <c r="C851" s="219"/>
      <c r="D851" s="216"/>
      <c r="E851" s="216" t="s">
        <v>2015</v>
      </c>
      <c r="F851" s="226" t="s">
        <v>2016</v>
      </c>
      <c r="G851" s="227"/>
      <c r="H851" s="227"/>
      <c r="I851" s="216"/>
      <c r="J851" s="225">
        <v>4800</v>
      </c>
      <c r="K851" s="246">
        <v>3.1134259259259257E-3</v>
      </c>
      <c r="L851" s="225" t="s">
        <v>1984</v>
      </c>
      <c r="M851" s="219"/>
      <c r="N851" s="219"/>
      <c r="O851" s="216"/>
      <c r="P851" s="216"/>
      <c r="Q851" s="216"/>
      <c r="R851" s="220"/>
      <c r="S851" s="220"/>
      <c r="T851" s="220"/>
      <c r="U851" s="230"/>
      <c r="V851" s="231"/>
      <c r="W851" s="232"/>
      <c r="X851" s="233"/>
      <c r="Y851" s="219"/>
      <c r="Z851" s="219"/>
    </row>
    <row r="852" spans="1:26" ht="15.75" thickBot="1">
      <c r="A852" s="225">
        <v>690</v>
      </c>
      <c r="B852" s="216"/>
      <c r="C852" s="219"/>
      <c r="D852" s="216"/>
      <c r="E852" s="216" t="s">
        <v>2017</v>
      </c>
      <c r="F852" s="226" t="s">
        <v>2018</v>
      </c>
      <c r="G852" s="227"/>
      <c r="H852" s="227"/>
      <c r="I852" s="216"/>
      <c r="J852" s="225">
        <v>9100</v>
      </c>
      <c r="K852" s="246">
        <v>3.2106481481481479E-2</v>
      </c>
      <c r="L852" s="225" t="s">
        <v>1984</v>
      </c>
      <c r="M852" s="219"/>
      <c r="N852" s="219"/>
      <c r="O852" s="216"/>
      <c r="P852" s="216"/>
      <c r="Q852" s="216"/>
      <c r="R852" s="220"/>
      <c r="S852" s="220"/>
      <c r="T852" s="220"/>
      <c r="U852" s="230"/>
      <c r="V852" s="231"/>
      <c r="W852" s="232"/>
      <c r="X852" s="233"/>
      <c r="Y852" s="219"/>
      <c r="Z852" s="219"/>
    </row>
    <row r="853" spans="1:26" ht="15.75" thickBot="1">
      <c r="A853" s="225">
        <v>691</v>
      </c>
      <c r="B853" s="216"/>
      <c r="C853" s="219"/>
      <c r="D853" s="216"/>
      <c r="E853" s="216" t="s">
        <v>2019</v>
      </c>
      <c r="F853" s="226" t="s">
        <v>2020</v>
      </c>
      <c r="G853" s="227"/>
      <c r="H853" s="227"/>
      <c r="I853" s="216"/>
      <c r="J853" s="225">
        <v>24000</v>
      </c>
      <c r="K853" s="246">
        <v>4.4583333333333336E-2</v>
      </c>
      <c r="L853" s="225" t="s">
        <v>1984</v>
      </c>
      <c r="M853" s="219"/>
      <c r="N853" s="219"/>
      <c r="O853" s="216"/>
      <c r="P853" s="216"/>
      <c r="Q853" s="216"/>
      <c r="R853" s="220"/>
      <c r="S853" s="220"/>
      <c r="T853" s="220"/>
      <c r="U853" s="230"/>
      <c r="V853" s="231"/>
      <c r="W853" s="232"/>
      <c r="X853" s="233"/>
      <c r="Y853" s="219"/>
      <c r="Z853" s="219"/>
    </row>
    <row r="854" spans="1:26" ht="15.75" thickBot="1">
      <c r="A854" s="225">
        <v>692</v>
      </c>
      <c r="B854" s="216"/>
      <c r="C854" s="219"/>
      <c r="D854" s="216"/>
      <c r="E854" s="216" t="s">
        <v>2021</v>
      </c>
      <c r="F854" s="226" t="s">
        <v>2022</v>
      </c>
      <c r="G854" s="227"/>
      <c r="H854" s="227"/>
      <c r="I854" s="216"/>
      <c r="J854" s="225">
        <v>4900</v>
      </c>
      <c r="K854" s="246">
        <v>2.8055555555555556E-2</v>
      </c>
      <c r="L854" s="225" t="s">
        <v>1984</v>
      </c>
      <c r="M854" s="219"/>
      <c r="N854" s="219"/>
      <c r="O854" s="216"/>
      <c r="P854" s="216"/>
      <c r="Q854" s="216"/>
      <c r="R854" s="220"/>
      <c r="S854" s="220"/>
      <c r="T854" s="220"/>
      <c r="U854" s="230"/>
      <c r="V854" s="231"/>
      <c r="W854" s="232"/>
      <c r="X854" s="233"/>
      <c r="Y854" s="219"/>
      <c r="Z854" s="219"/>
    </row>
    <row r="855" spans="1:26" ht="15.75" thickBot="1">
      <c r="A855" s="225">
        <v>693</v>
      </c>
      <c r="B855" s="216"/>
      <c r="C855" s="219"/>
      <c r="D855" s="216"/>
      <c r="E855" s="216" t="s">
        <v>2023</v>
      </c>
      <c r="F855" s="226" t="s">
        <v>2024</v>
      </c>
      <c r="G855" s="227"/>
      <c r="H855" s="227"/>
      <c r="I855" s="216"/>
      <c r="J855" s="225">
        <v>5300</v>
      </c>
      <c r="K855" s="246">
        <v>1.4733796296296295E-2</v>
      </c>
      <c r="L855" s="225" t="s">
        <v>1984</v>
      </c>
      <c r="M855" s="219"/>
      <c r="N855" s="219"/>
      <c r="O855" s="216"/>
      <c r="P855" s="216"/>
      <c r="Q855" s="216"/>
      <c r="R855" s="220"/>
      <c r="S855" s="220"/>
      <c r="T855" s="220"/>
      <c r="U855" s="230"/>
      <c r="V855" s="231"/>
      <c r="W855" s="232"/>
      <c r="X855" s="233"/>
      <c r="Y855" s="219"/>
      <c r="Z855" s="219"/>
    </row>
    <row r="856" spans="1:26" ht="15.75" thickBot="1">
      <c r="A856" s="225">
        <v>694</v>
      </c>
      <c r="B856" s="216"/>
      <c r="C856" s="219"/>
      <c r="D856" s="216"/>
      <c r="E856" s="216" t="s">
        <v>2025</v>
      </c>
      <c r="F856" s="226" t="s">
        <v>2026</v>
      </c>
      <c r="G856" s="227"/>
      <c r="H856" s="227"/>
      <c r="I856" s="216"/>
      <c r="J856" s="225">
        <v>18000</v>
      </c>
      <c r="K856" s="246">
        <v>3.3402777777777774E-2</v>
      </c>
      <c r="L856" s="225" t="s">
        <v>2027</v>
      </c>
      <c r="M856" s="219"/>
      <c r="N856" s="219"/>
      <c r="O856" s="216"/>
      <c r="P856" s="216"/>
      <c r="Q856" s="216"/>
      <c r="R856" s="220"/>
      <c r="S856" s="220"/>
      <c r="T856" s="220"/>
      <c r="U856" s="230"/>
      <c r="V856" s="231"/>
      <c r="W856" s="232"/>
      <c r="X856" s="233"/>
      <c r="Y856" s="219"/>
      <c r="Z856" s="219"/>
    </row>
    <row r="857" spans="1:26" ht="15.75" thickBot="1">
      <c r="A857" s="225">
        <v>695</v>
      </c>
      <c r="B857" s="216"/>
      <c r="C857" s="219"/>
      <c r="D857" s="216"/>
      <c r="E857" s="216" t="s">
        <v>2028</v>
      </c>
      <c r="F857" s="226" t="s">
        <v>2029</v>
      </c>
      <c r="G857" s="227"/>
      <c r="H857" s="227"/>
      <c r="I857" s="216"/>
      <c r="J857" s="225">
        <v>9100</v>
      </c>
      <c r="K857" s="246">
        <v>4.2349537037037033E-2</v>
      </c>
      <c r="L857" s="225" t="s">
        <v>2027</v>
      </c>
      <c r="M857" s="219"/>
      <c r="N857" s="219"/>
      <c r="O857" s="216"/>
      <c r="P857" s="216"/>
      <c r="Q857" s="216"/>
      <c r="R857" s="220"/>
      <c r="S857" s="220"/>
      <c r="T857" s="220"/>
      <c r="U857" s="230"/>
      <c r="V857" s="231"/>
      <c r="W857" s="232"/>
      <c r="X857" s="233"/>
      <c r="Y857" s="219"/>
      <c r="Z857" s="219"/>
    </row>
    <row r="858" spans="1:26" ht="15.75" thickBot="1">
      <c r="A858" s="225">
        <v>696</v>
      </c>
      <c r="B858" s="216"/>
      <c r="C858" s="219"/>
      <c r="D858" s="216"/>
      <c r="E858" s="216" t="s">
        <v>2030</v>
      </c>
      <c r="F858" s="226" t="s">
        <v>2031</v>
      </c>
      <c r="G858" s="227"/>
      <c r="H858" s="227"/>
      <c r="I858" s="216"/>
      <c r="J858" s="225">
        <v>10000</v>
      </c>
      <c r="K858" s="246">
        <v>2.1979166666666664E-2</v>
      </c>
      <c r="L858" s="225" t="s">
        <v>2027</v>
      </c>
      <c r="M858" s="219"/>
      <c r="N858" s="219"/>
      <c r="O858" s="216"/>
      <c r="P858" s="216"/>
      <c r="Q858" s="216"/>
      <c r="R858" s="220"/>
      <c r="S858" s="220"/>
      <c r="T858" s="220"/>
      <c r="U858" s="230"/>
      <c r="V858" s="231"/>
      <c r="W858" s="232"/>
      <c r="X858" s="233"/>
      <c r="Y858" s="219"/>
      <c r="Z858" s="219"/>
    </row>
    <row r="859" spans="1:26" ht="15.75" thickBot="1">
      <c r="A859" s="225">
        <v>697</v>
      </c>
      <c r="B859" s="216"/>
      <c r="C859" s="219"/>
      <c r="D859" s="216"/>
      <c r="E859" s="216" t="s">
        <v>2032</v>
      </c>
      <c r="F859" s="226" t="s">
        <v>2033</v>
      </c>
      <c r="G859" s="227"/>
      <c r="H859" s="227"/>
      <c r="I859" s="216"/>
      <c r="J859" s="225">
        <v>3700</v>
      </c>
      <c r="K859" s="246">
        <v>1.7824074074074072E-3</v>
      </c>
      <c r="L859" s="225" t="s">
        <v>2027</v>
      </c>
      <c r="M859" s="219"/>
      <c r="N859" s="219"/>
      <c r="O859" s="216"/>
      <c r="P859" s="216"/>
      <c r="Q859" s="216"/>
      <c r="R859" s="220"/>
      <c r="S859" s="220"/>
      <c r="T859" s="220"/>
      <c r="U859" s="230"/>
      <c r="V859" s="231"/>
      <c r="W859" s="232"/>
      <c r="X859" s="233"/>
      <c r="Y859" s="219"/>
      <c r="Z859" s="219"/>
    </row>
    <row r="860" spans="1:26" ht="15.75" thickBot="1">
      <c r="A860" s="225">
        <v>698</v>
      </c>
      <c r="B860" s="216"/>
      <c r="C860" s="219"/>
      <c r="D860" s="216"/>
      <c r="E860" s="216" t="s">
        <v>2034</v>
      </c>
      <c r="F860" s="226" t="s">
        <v>2035</v>
      </c>
      <c r="G860" s="227"/>
      <c r="H860" s="227"/>
      <c r="I860" s="216"/>
      <c r="J860" s="225">
        <v>16000</v>
      </c>
      <c r="K860" s="246">
        <v>3.8483796296296294E-2</v>
      </c>
      <c r="L860" s="225" t="s">
        <v>2027</v>
      </c>
      <c r="M860" s="219"/>
      <c r="N860" s="219"/>
      <c r="O860" s="216"/>
      <c r="P860" s="216"/>
      <c r="Q860" s="216"/>
      <c r="R860" s="220"/>
      <c r="S860" s="220"/>
      <c r="T860" s="220"/>
      <c r="U860" s="230"/>
      <c r="V860" s="231"/>
      <c r="W860" s="232"/>
      <c r="X860" s="233"/>
      <c r="Y860" s="219"/>
      <c r="Z860" s="219"/>
    </row>
    <row r="861" spans="1:26" ht="15.75" thickBot="1">
      <c r="A861" s="225">
        <v>699</v>
      </c>
      <c r="B861" s="216"/>
      <c r="C861" s="219"/>
      <c r="D861" s="216"/>
      <c r="E861" s="216" t="s">
        <v>2036</v>
      </c>
      <c r="F861" s="226" t="s">
        <v>2037</v>
      </c>
      <c r="G861" s="227"/>
      <c r="H861" s="227"/>
      <c r="I861" s="216"/>
      <c r="J861" s="225">
        <v>16000</v>
      </c>
      <c r="K861" s="246">
        <v>3.5312500000000004E-2</v>
      </c>
      <c r="L861" s="225" t="s">
        <v>2027</v>
      </c>
      <c r="M861" s="219"/>
      <c r="N861" s="219"/>
      <c r="O861" s="216"/>
      <c r="P861" s="216"/>
      <c r="Q861" s="216"/>
      <c r="R861" s="220"/>
      <c r="S861" s="220"/>
      <c r="T861" s="220"/>
      <c r="U861" s="230"/>
      <c r="V861" s="231"/>
      <c r="W861" s="232"/>
      <c r="X861" s="233"/>
      <c r="Y861" s="219"/>
      <c r="Z861" s="219"/>
    </row>
    <row r="862" spans="1:26" ht="15.75" thickBot="1">
      <c r="A862" s="225">
        <v>700</v>
      </c>
      <c r="B862" s="216"/>
      <c r="C862" s="219"/>
      <c r="D862" s="216"/>
      <c r="E862" s="216" t="s">
        <v>2038</v>
      </c>
      <c r="F862" s="226" t="s">
        <v>2039</v>
      </c>
      <c r="G862" s="227"/>
      <c r="H862" s="227"/>
      <c r="I862" s="216"/>
      <c r="J862" s="225">
        <v>12000</v>
      </c>
      <c r="K862" s="246">
        <v>2.7951388888888887E-2</v>
      </c>
      <c r="L862" s="225" t="s">
        <v>2027</v>
      </c>
      <c r="M862" s="219"/>
      <c r="N862" s="219"/>
      <c r="O862" s="216"/>
      <c r="P862" s="216"/>
      <c r="Q862" s="216"/>
      <c r="R862" s="220"/>
      <c r="S862" s="220"/>
      <c r="T862" s="220"/>
      <c r="U862" s="230"/>
      <c r="V862" s="231"/>
      <c r="W862" s="232"/>
      <c r="X862" s="233"/>
      <c r="Y862" s="219"/>
      <c r="Z862" s="219"/>
    </row>
    <row r="863" spans="1:26" ht="15.75" thickBot="1">
      <c r="A863" s="225">
        <v>701</v>
      </c>
      <c r="B863" s="216"/>
      <c r="C863" s="219"/>
      <c r="D863" s="216"/>
      <c r="E863" s="216" t="s">
        <v>2040</v>
      </c>
      <c r="F863" s="226" t="s">
        <v>2041</v>
      </c>
      <c r="G863" s="227"/>
      <c r="H863" s="227"/>
      <c r="I863" s="216"/>
      <c r="J863" s="225">
        <v>895</v>
      </c>
      <c r="K863" s="246">
        <v>1.5902777777777776E-2</v>
      </c>
      <c r="L863" s="225" t="s">
        <v>2042</v>
      </c>
      <c r="M863" s="219"/>
      <c r="N863" s="219"/>
      <c r="O863" s="216"/>
      <c r="P863" s="216"/>
      <c r="Q863" s="216"/>
      <c r="R863" s="220"/>
      <c r="S863" s="220"/>
      <c r="T863" s="220"/>
      <c r="U863" s="230"/>
      <c r="V863" s="231"/>
      <c r="W863" s="232"/>
      <c r="X863" s="233"/>
      <c r="Y863" s="219"/>
      <c r="Z863" s="219"/>
    </row>
    <row r="864" spans="1:26" ht="15.75" thickBot="1">
      <c r="A864" s="225">
        <v>702</v>
      </c>
      <c r="B864" s="216"/>
      <c r="C864" s="219"/>
      <c r="D864" s="216"/>
      <c r="E864" s="216" t="s">
        <v>2043</v>
      </c>
      <c r="F864" s="226" t="s">
        <v>2044</v>
      </c>
      <c r="G864" s="227"/>
      <c r="H864" s="227"/>
      <c r="I864" s="216"/>
      <c r="J864" s="225">
        <v>214</v>
      </c>
      <c r="K864" s="246">
        <v>3.0034722222222223E-2</v>
      </c>
      <c r="L864" s="225" t="s">
        <v>2042</v>
      </c>
      <c r="M864" s="219"/>
      <c r="N864" s="219"/>
      <c r="O864" s="216"/>
      <c r="P864" s="216"/>
      <c r="Q864" s="216"/>
      <c r="R864" s="220"/>
      <c r="S864" s="220"/>
      <c r="T864" s="220"/>
      <c r="U864" s="230"/>
      <c r="V864" s="231"/>
      <c r="W864" s="232"/>
      <c r="X864" s="233"/>
      <c r="Y864" s="219"/>
      <c r="Z864" s="219"/>
    </row>
    <row r="865" spans="1:26" ht="15.75" thickBot="1">
      <c r="A865" s="225">
        <v>703</v>
      </c>
      <c r="B865" s="216"/>
      <c r="C865" s="219"/>
      <c r="D865" s="216"/>
      <c r="E865" s="216" t="s">
        <v>2045</v>
      </c>
      <c r="F865" s="226" t="s">
        <v>2046</v>
      </c>
      <c r="G865" s="227"/>
      <c r="H865" s="227"/>
      <c r="I865" s="216"/>
      <c r="J865" s="225">
        <v>1400</v>
      </c>
      <c r="K865" s="246">
        <v>2.5208333333333333E-2</v>
      </c>
      <c r="L865" s="225" t="s">
        <v>2042</v>
      </c>
      <c r="M865" s="219"/>
      <c r="N865" s="219"/>
      <c r="O865" s="216"/>
      <c r="P865" s="216"/>
      <c r="Q865" s="216"/>
      <c r="R865" s="220"/>
      <c r="S865" s="220"/>
      <c r="T865" s="220"/>
      <c r="U865" s="230"/>
      <c r="V865" s="231"/>
      <c r="W865" s="232"/>
      <c r="X865" s="233"/>
      <c r="Y865" s="219"/>
      <c r="Z865" s="219"/>
    </row>
    <row r="866" spans="1:26" ht="15.75" thickBot="1">
      <c r="A866" s="225">
        <v>704</v>
      </c>
      <c r="B866" s="216"/>
      <c r="C866" s="219"/>
      <c r="D866" s="216"/>
      <c r="E866" s="216" t="s">
        <v>2047</v>
      </c>
      <c r="F866" s="226" t="s">
        <v>2048</v>
      </c>
      <c r="G866" s="227"/>
      <c r="H866" s="227"/>
      <c r="I866" s="216"/>
      <c r="J866" s="225">
        <v>159</v>
      </c>
      <c r="K866" s="246">
        <v>1.3703703703703704E-2</v>
      </c>
      <c r="L866" s="225" t="s">
        <v>2042</v>
      </c>
      <c r="M866" s="219"/>
      <c r="N866" s="219"/>
      <c r="O866" s="216"/>
      <c r="P866" s="216"/>
      <c r="Q866" s="216"/>
      <c r="R866" s="220"/>
      <c r="S866" s="220"/>
      <c r="T866" s="220"/>
      <c r="U866" s="230"/>
      <c r="V866" s="231"/>
      <c r="W866" s="232"/>
      <c r="X866" s="233"/>
      <c r="Y866" s="219"/>
      <c r="Z866" s="219"/>
    </row>
    <row r="867" spans="1:26" ht="15.75" thickBot="1">
      <c r="A867" s="225">
        <v>705</v>
      </c>
      <c r="B867" s="216"/>
      <c r="C867" s="219"/>
      <c r="D867" s="216"/>
      <c r="E867" s="216" t="s">
        <v>2049</v>
      </c>
      <c r="F867" s="226" t="s">
        <v>2050</v>
      </c>
      <c r="G867" s="227"/>
      <c r="H867" s="227"/>
      <c r="I867" s="216"/>
      <c r="J867" s="225">
        <v>1700</v>
      </c>
      <c r="K867" s="246">
        <v>2.1979166666666664E-2</v>
      </c>
      <c r="L867" s="225" t="s">
        <v>2042</v>
      </c>
      <c r="M867" s="219"/>
      <c r="N867" s="219"/>
      <c r="O867" s="216"/>
      <c r="P867" s="216"/>
      <c r="Q867" s="216"/>
      <c r="R867" s="220"/>
      <c r="S867" s="220"/>
      <c r="T867" s="220"/>
      <c r="U867" s="230"/>
      <c r="V867" s="231"/>
      <c r="W867" s="232"/>
      <c r="X867" s="233"/>
      <c r="Y867" s="219"/>
      <c r="Z867" s="219"/>
    </row>
    <row r="868" spans="1:26" ht="15.75" thickBot="1">
      <c r="A868" s="225">
        <v>706</v>
      </c>
      <c r="B868" s="216"/>
      <c r="C868" s="219"/>
      <c r="D868" s="216"/>
      <c r="E868" s="216" t="s">
        <v>2051</v>
      </c>
      <c r="F868" s="226" t="s">
        <v>2052</v>
      </c>
      <c r="G868" s="227"/>
      <c r="H868" s="227"/>
      <c r="I868" s="216"/>
      <c r="J868" s="225">
        <v>395</v>
      </c>
      <c r="K868" s="246">
        <v>1.0601851851851854E-2</v>
      </c>
      <c r="L868" s="225" t="s">
        <v>2042</v>
      </c>
      <c r="M868" s="219"/>
      <c r="N868" s="219"/>
      <c r="O868" s="216"/>
      <c r="P868" s="216"/>
      <c r="Q868" s="216"/>
      <c r="R868" s="220"/>
      <c r="S868" s="220"/>
      <c r="T868" s="220"/>
      <c r="U868" s="230"/>
      <c r="V868" s="231"/>
      <c r="W868" s="232"/>
      <c r="X868" s="233"/>
      <c r="Y868" s="219"/>
      <c r="Z868" s="219"/>
    </row>
    <row r="869" spans="1:26" ht="15.75" thickBot="1">
      <c r="A869" s="225">
        <v>707</v>
      </c>
      <c r="B869" s="216"/>
      <c r="C869" s="219"/>
      <c r="D869" s="216"/>
      <c r="E869" s="216" t="s">
        <v>2053</v>
      </c>
      <c r="F869" s="226" t="s">
        <v>2054</v>
      </c>
      <c r="G869" s="227"/>
      <c r="H869" s="227"/>
      <c r="I869" s="216"/>
      <c r="J869" s="225">
        <v>4200</v>
      </c>
      <c r="K869" s="246">
        <v>2.4050925925925924E-2</v>
      </c>
      <c r="L869" s="225" t="s">
        <v>2042</v>
      </c>
      <c r="M869" s="219"/>
      <c r="N869" s="219"/>
      <c r="O869" s="216"/>
      <c r="P869" s="216"/>
      <c r="Q869" s="216"/>
      <c r="R869" s="220"/>
      <c r="S869" s="220"/>
      <c r="T869" s="220"/>
      <c r="U869" s="230"/>
      <c r="V869" s="231"/>
      <c r="W869" s="232"/>
      <c r="X869" s="233"/>
      <c r="Y869" s="219"/>
      <c r="Z869" s="219"/>
    </row>
    <row r="870" spans="1:26" ht="15.75" thickBot="1">
      <c r="A870" s="225">
        <v>708</v>
      </c>
      <c r="B870" s="216"/>
      <c r="C870" s="219"/>
      <c r="D870" s="216"/>
      <c r="E870" s="216" t="s">
        <v>2055</v>
      </c>
      <c r="F870" s="226" t="s">
        <v>2056</v>
      </c>
      <c r="G870" s="227"/>
      <c r="H870" s="227"/>
      <c r="I870" s="216"/>
      <c r="J870" s="225">
        <v>131</v>
      </c>
      <c r="K870" s="246">
        <v>8.8657407407407417E-3</v>
      </c>
      <c r="L870" s="225" t="s">
        <v>2042</v>
      </c>
      <c r="M870" s="219"/>
      <c r="N870" s="219"/>
      <c r="O870" s="216"/>
      <c r="P870" s="216"/>
      <c r="Q870" s="216"/>
      <c r="R870" s="220"/>
      <c r="S870" s="220"/>
      <c r="T870" s="220"/>
      <c r="U870" s="230"/>
      <c r="V870" s="231"/>
      <c r="W870" s="232"/>
      <c r="X870" s="233"/>
      <c r="Y870" s="219"/>
      <c r="Z870" s="219"/>
    </row>
    <row r="871" spans="1:26" ht="15.75" thickBot="1">
      <c r="A871" s="225">
        <v>709</v>
      </c>
      <c r="B871" s="216"/>
      <c r="C871" s="219"/>
      <c r="D871" s="216"/>
      <c r="E871" s="216" t="s">
        <v>2057</v>
      </c>
      <c r="F871" s="226" t="s">
        <v>2058</v>
      </c>
      <c r="G871" s="227"/>
      <c r="H871" s="227"/>
      <c r="I871" s="216"/>
      <c r="J871" s="225">
        <v>420</v>
      </c>
      <c r="K871" s="246">
        <v>5.0000000000000001E-3</v>
      </c>
      <c r="L871" s="225" t="s">
        <v>2042</v>
      </c>
      <c r="M871" s="219"/>
      <c r="N871" s="219"/>
      <c r="O871" s="216"/>
      <c r="P871" s="216"/>
      <c r="Q871" s="216"/>
      <c r="R871" s="220"/>
      <c r="S871" s="220"/>
      <c r="T871" s="220"/>
      <c r="U871" s="230"/>
      <c r="V871" s="231"/>
      <c r="W871" s="232"/>
      <c r="X871" s="233"/>
      <c r="Y871" s="219"/>
      <c r="Z871" s="219"/>
    </row>
    <row r="872" spans="1:26" ht="15.75" thickBot="1">
      <c r="A872" s="225">
        <v>710</v>
      </c>
      <c r="B872" s="216"/>
      <c r="C872" s="219"/>
      <c r="D872" s="216"/>
      <c r="E872" s="216" t="s">
        <v>2059</v>
      </c>
      <c r="F872" s="226" t="s">
        <v>2060</v>
      </c>
      <c r="G872" s="227"/>
      <c r="H872" s="227"/>
      <c r="I872" s="216"/>
      <c r="J872" s="225">
        <v>1000</v>
      </c>
      <c r="K872" s="246">
        <v>2.0324074074074074E-2</v>
      </c>
      <c r="L872" s="225" t="s">
        <v>2042</v>
      </c>
      <c r="M872" s="219"/>
      <c r="N872" s="219"/>
      <c r="O872" s="216"/>
      <c r="P872" s="216"/>
      <c r="Q872" s="216"/>
      <c r="R872" s="220"/>
      <c r="S872" s="220"/>
      <c r="T872" s="220"/>
      <c r="U872" s="230"/>
      <c r="V872" s="231"/>
      <c r="W872" s="232"/>
      <c r="X872" s="233"/>
      <c r="Y872" s="219"/>
      <c r="Z872" s="219"/>
    </row>
    <row r="873" spans="1:26" ht="15.75" thickBot="1">
      <c r="A873" s="225">
        <v>711</v>
      </c>
      <c r="B873" s="216"/>
      <c r="C873" s="219"/>
      <c r="D873" s="216"/>
      <c r="E873" s="216" t="s">
        <v>2061</v>
      </c>
      <c r="F873" s="226" t="s">
        <v>2062</v>
      </c>
      <c r="G873" s="227"/>
      <c r="H873" s="227"/>
      <c r="I873" s="216"/>
      <c r="J873" s="225">
        <v>508</v>
      </c>
      <c r="K873" s="246">
        <v>1.9409722222222221E-2</v>
      </c>
      <c r="L873" s="225" t="s">
        <v>2042</v>
      </c>
      <c r="M873" s="219"/>
      <c r="N873" s="219"/>
      <c r="O873" s="216"/>
      <c r="P873" s="216"/>
      <c r="Q873" s="216"/>
      <c r="R873" s="220"/>
      <c r="S873" s="220"/>
      <c r="T873" s="220"/>
      <c r="U873" s="230"/>
      <c r="V873" s="231"/>
      <c r="W873" s="232"/>
      <c r="X873" s="233"/>
      <c r="Y873" s="219"/>
      <c r="Z873" s="219"/>
    </row>
    <row r="874" spans="1:26" ht="15.75" thickBot="1">
      <c r="A874" s="225">
        <v>712</v>
      </c>
      <c r="B874" s="216"/>
      <c r="C874" s="219"/>
      <c r="D874" s="216"/>
      <c r="E874" s="216" t="s">
        <v>2063</v>
      </c>
      <c r="F874" s="226" t="s">
        <v>2064</v>
      </c>
      <c r="G874" s="227"/>
      <c r="H874" s="227"/>
      <c r="I874" s="216"/>
      <c r="J874" s="225">
        <v>710</v>
      </c>
      <c r="K874" s="246">
        <v>1.2604166666666666E-2</v>
      </c>
      <c r="L874" s="225" t="s">
        <v>2042</v>
      </c>
      <c r="M874" s="219"/>
      <c r="N874" s="219"/>
      <c r="O874" s="216"/>
      <c r="P874" s="216"/>
      <c r="Q874" s="216"/>
      <c r="R874" s="220"/>
      <c r="S874" s="220"/>
      <c r="T874" s="220"/>
      <c r="U874" s="230"/>
      <c r="V874" s="231"/>
      <c r="W874" s="232"/>
      <c r="X874" s="233"/>
      <c r="Y874" s="219"/>
      <c r="Z874" s="219"/>
    </row>
    <row r="875" spans="1:26" ht="15.75" thickBot="1">
      <c r="A875" s="225">
        <v>713</v>
      </c>
      <c r="B875" s="216"/>
      <c r="C875" s="219"/>
      <c r="D875" s="216"/>
      <c r="E875" s="216" t="s">
        <v>2065</v>
      </c>
      <c r="F875" s="226" t="s">
        <v>2066</v>
      </c>
      <c r="G875" s="227"/>
      <c r="H875" s="227"/>
      <c r="I875" s="216"/>
      <c r="J875" s="225">
        <v>1000</v>
      </c>
      <c r="K875" s="246">
        <v>1.5243055555555557E-2</v>
      </c>
      <c r="L875" s="225" t="s">
        <v>2042</v>
      </c>
      <c r="M875" s="219"/>
      <c r="N875" s="219"/>
      <c r="O875" s="216"/>
      <c r="P875" s="216"/>
      <c r="Q875" s="216"/>
      <c r="R875" s="220"/>
      <c r="S875" s="220"/>
      <c r="T875" s="220"/>
      <c r="U875" s="230"/>
      <c r="V875" s="231"/>
      <c r="W875" s="232"/>
      <c r="X875" s="233"/>
      <c r="Y875" s="219"/>
      <c r="Z875" s="219"/>
    </row>
    <row r="876" spans="1:26" ht="15.75" thickBot="1">
      <c r="A876" s="225">
        <v>714</v>
      </c>
      <c r="B876" s="216"/>
      <c r="C876" s="219"/>
      <c r="D876" s="216"/>
      <c r="E876" s="216" t="s">
        <v>2067</v>
      </c>
      <c r="F876" s="226" t="s">
        <v>2068</v>
      </c>
      <c r="G876" s="227"/>
      <c r="H876" s="227"/>
      <c r="I876" s="216"/>
      <c r="J876" s="225">
        <v>878</v>
      </c>
      <c r="K876" s="246">
        <v>1.892361111111111E-2</v>
      </c>
      <c r="L876" s="225" t="s">
        <v>2042</v>
      </c>
      <c r="M876" s="219"/>
      <c r="N876" s="219"/>
      <c r="O876" s="216"/>
      <c r="P876" s="216"/>
      <c r="Q876" s="216"/>
      <c r="R876" s="220"/>
      <c r="S876" s="220"/>
      <c r="T876" s="220"/>
      <c r="U876" s="230"/>
      <c r="V876" s="231"/>
      <c r="W876" s="232"/>
      <c r="X876" s="233"/>
      <c r="Y876" s="219"/>
      <c r="Z876" s="219"/>
    </row>
    <row r="877" spans="1:26" ht="15.75" thickBot="1">
      <c r="A877" s="225">
        <v>715</v>
      </c>
      <c r="B877" s="216"/>
      <c r="C877" s="219"/>
      <c r="D877" s="216"/>
      <c r="E877" s="216" t="s">
        <v>2069</v>
      </c>
      <c r="F877" s="226" t="s">
        <v>2070</v>
      </c>
      <c r="G877" s="227"/>
      <c r="H877" s="227"/>
      <c r="I877" s="216"/>
      <c r="J877" s="225">
        <v>1100</v>
      </c>
      <c r="K877" s="246">
        <v>1.4074074074074074E-2</v>
      </c>
      <c r="L877" s="225" t="s">
        <v>2042</v>
      </c>
      <c r="M877" s="219"/>
      <c r="N877" s="219"/>
      <c r="O877" s="216"/>
      <c r="P877" s="216"/>
      <c r="Q877" s="216"/>
      <c r="R877" s="220"/>
      <c r="S877" s="220"/>
      <c r="T877" s="220"/>
      <c r="U877" s="230"/>
      <c r="V877" s="231"/>
      <c r="W877" s="232"/>
      <c r="X877" s="233"/>
      <c r="Y877" s="219"/>
      <c r="Z877" s="219"/>
    </row>
    <row r="878" spans="1:26" ht="15.75" thickBot="1">
      <c r="A878" s="225">
        <v>716</v>
      </c>
      <c r="B878" s="216"/>
      <c r="C878" s="219"/>
      <c r="D878" s="216"/>
      <c r="E878" s="216" t="s">
        <v>2071</v>
      </c>
      <c r="F878" s="226" t="s">
        <v>2072</v>
      </c>
      <c r="G878" s="227"/>
      <c r="H878" s="227"/>
      <c r="I878" s="216"/>
      <c r="J878" s="225">
        <v>347</v>
      </c>
      <c r="K878" s="246">
        <v>1.9259259259259261E-2</v>
      </c>
      <c r="L878" s="225" t="s">
        <v>2042</v>
      </c>
      <c r="M878" s="219"/>
      <c r="N878" s="219"/>
      <c r="O878" s="216"/>
      <c r="P878" s="216"/>
      <c r="Q878" s="216"/>
      <c r="R878" s="220"/>
      <c r="S878" s="220"/>
      <c r="T878" s="220"/>
      <c r="U878" s="230"/>
      <c r="V878" s="231"/>
      <c r="W878" s="232"/>
      <c r="X878" s="233"/>
      <c r="Y878" s="219"/>
      <c r="Z878" s="219"/>
    </row>
    <row r="879" spans="1:26" ht="15.75" thickBot="1">
      <c r="A879" s="225">
        <v>717</v>
      </c>
      <c r="B879" s="216"/>
      <c r="C879" s="219"/>
      <c r="D879" s="216"/>
      <c r="E879" s="216" t="s">
        <v>2073</v>
      </c>
      <c r="F879" s="226" t="s">
        <v>2074</v>
      </c>
      <c r="G879" s="227"/>
      <c r="H879" s="227"/>
      <c r="I879" s="216"/>
      <c r="J879" s="225">
        <v>465</v>
      </c>
      <c r="K879" s="246">
        <v>1.4363425925925925E-2</v>
      </c>
      <c r="L879" s="225" t="s">
        <v>2042</v>
      </c>
      <c r="M879" s="219"/>
      <c r="N879" s="219"/>
      <c r="O879" s="216"/>
      <c r="P879" s="216"/>
      <c r="Q879" s="216"/>
      <c r="R879" s="220"/>
      <c r="S879" s="220"/>
      <c r="T879" s="220"/>
      <c r="U879" s="230"/>
      <c r="V879" s="231"/>
      <c r="W879" s="232"/>
      <c r="X879" s="233"/>
      <c r="Y879" s="219"/>
      <c r="Z879" s="219"/>
    </row>
    <row r="880" spans="1:26" ht="15.75" thickBot="1">
      <c r="A880" s="225">
        <v>718</v>
      </c>
      <c r="B880" s="216"/>
      <c r="C880" s="219"/>
      <c r="D880" s="216"/>
      <c r="E880" s="216" t="s">
        <v>2075</v>
      </c>
      <c r="F880" s="226" t="s">
        <v>2076</v>
      </c>
      <c r="G880" s="227"/>
      <c r="H880" s="227"/>
      <c r="I880" s="216"/>
      <c r="J880" s="225">
        <v>1100</v>
      </c>
      <c r="K880" s="246">
        <v>3.1249999999999997E-3</v>
      </c>
      <c r="L880" s="225" t="s">
        <v>2042</v>
      </c>
      <c r="M880" s="219"/>
      <c r="N880" s="219"/>
      <c r="O880" s="216"/>
      <c r="P880" s="216"/>
      <c r="Q880" s="216"/>
      <c r="R880" s="220"/>
      <c r="S880" s="220"/>
      <c r="T880" s="220"/>
      <c r="U880" s="230"/>
      <c r="V880" s="231"/>
      <c r="W880" s="232"/>
      <c r="X880" s="233"/>
      <c r="Y880" s="219"/>
      <c r="Z880" s="219"/>
    </row>
    <row r="881" spans="1:26" ht="15.75" thickBot="1">
      <c r="A881" s="225">
        <v>719</v>
      </c>
      <c r="B881" s="216"/>
      <c r="C881" s="219"/>
      <c r="D881" s="216"/>
      <c r="E881" s="216" t="s">
        <v>2077</v>
      </c>
      <c r="F881" s="226" t="s">
        <v>2078</v>
      </c>
      <c r="G881" s="227"/>
      <c r="H881" s="227"/>
      <c r="I881" s="216"/>
      <c r="J881" s="225">
        <v>690</v>
      </c>
      <c r="K881" s="246">
        <v>5.8217592592592592E-3</v>
      </c>
      <c r="L881" s="225" t="s">
        <v>2042</v>
      </c>
      <c r="M881" s="219"/>
      <c r="N881" s="219"/>
      <c r="O881" s="216"/>
      <c r="P881" s="216"/>
      <c r="Q881" s="216"/>
      <c r="R881" s="220"/>
      <c r="S881" s="220"/>
      <c r="T881" s="220"/>
      <c r="U881" s="230"/>
      <c r="V881" s="231"/>
      <c r="W881" s="232"/>
      <c r="X881" s="233"/>
      <c r="Y881" s="219"/>
      <c r="Z881" s="219"/>
    </row>
    <row r="882" spans="1:26" ht="15.75" thickBot="1">
      <c r="A882" s="225">
        <v>720</v>
      </c>
      <c r="B882" s="216"/>
      <c r="C882" s="219"/>
      <c r="D882" s="216"/>
      <c r="E882" s="216" t="s">
        <v>2079</v>
      </c>
      <c r="F882" s="226" t="s">
        <v>2080</v>
      </c>
      <c r="G882" s="227"/>
      <c r="H882" s="227"/>
      <c r="I882" s="216"/>
      <c r="J882" s="225">
        <v>734</v>
      </c>
      <c r="K882" s="246">
        <v>2.3784722222222221E-2</v>
      </c>
      <c r="L882" s="225" t="s">
        <v>2042</v>
      </c>
      <c r="M882" s="219"/>
      <c r="N882" s="219"/>
      <c r="O882" s="216"/>
      <c r="P882" s="216"/>
      <c r="Q882" s="216"/>
      <c r="R882" s="220"/>
      <c r="S882" s="220"/>
      <c r="T882" s="220"/>
      <c r="U882" s="230"/>
      <c r="V882" s="231"/>
      <c r="W882" s="232"/>
      <c r="X882" s="233"/>
      <c r="Y882" s="219"/>
      <c r="Z882" s="219"/>
    </row>
    <row r="883" spans="1:26" ht="15.75" thickBot="1">
      <c r="A883" s="225">
        <v>721</v>
      </c>
      <c r="B883" s="216"/>
      <c r="C883" s="219"/>
      <c r="D883" s="216"/>
      <c r="E883" s="216" t="s">
        <v>2081</v>
      </c>
      <c r="F883" s="226" t="s">
        <v>2082</v>
      </c>
      <c r="G883" s="227"/>
      <c r="H883" s="227"/>
      <c r="I883" s="216"/>
      <c r="J883" s="225">
        <v>2400</v>
      </c>
      <c r="K883" s="246">
        <v>2.5509259259259259E-2</v>
      </c>
      <c r="L883" s="225" t="s">
        <v>2042</v>
      </c>
      <c r="M883" s="219"/>
      <c r="N883" s="219"/>
      <c r="O883" s="216"/>
      <c r="P883" s="216"/>
      <c r="Q883" s="216"/>
      <c r="R883" s="220"/>
      <c r="S883" s="220"/>
      <c r="T883" s="220"/>
      <c r="U883" s="230"/>
      <c r="V883" s="231"/>
      <c r="W883" s="232"/>
      <c r="X883" s="233"/>
      <c r="Y883" s="219"/>
      <c r="Z883" s="219"/>
    </row>
    <row r="884" spans="1:26" ht="15.75" thickBot="1">
      <c r="A884" s="225">
        <v>722</v>
      </c>
      <c r="B884" s="216"/>
      <c r="C884" s="219"/>
      <c r="D884" s="216"/>
      <c r="E884" s="216" t="s">
        <v>2083</v>
      </c>
      <c r="F884" s="226" t="s">
        <v>2084</v>
      </c>
      <c r="G884" s="227"/>
      <c r="H884" s="227"/>
      <c r="I884" s="216"/>
      <c r="J884" s="225">
        <v>698</v>
      </c>
      <c r="K884" s="246">
        <v>1.6608796296296299E-2</v>
      </c>
      <c r="L884" s="225" t="s">
        <v>2042</v>
      </c>
      <c r="M884" s="219"/>
      <c r="N884" s="219"/>
      <c r="O884" s="216"/>
      <c r="P884" s="216"/>
      <c r="Q884" s="216"/>
      <c r="R884" s="220"/>
      <c r="S884" s="220"/>
      <c r="T884" s="220"/>
      <c r="U884" s="230"/>
      <c r="V884" s="231"/>
      <c r="W884" s="232"/>
      <c r="X884" s="233"/>
      <c r="Y884" s="219"/>
      <c r="Z884" s="219"/>
    </row>
    <row r="885" spans="1:26" ht="15.75" thickBot="1">
      <c r="A885" s="225">
        <v>723</v>
      </c>
      <c r="B885" s="216"/>
      <c r="C885" s="219"/>
      <c r="D885" s="216"/>
      <c r="E885" s="216" t="s">
        <v>2085</v>
      </c>
      <c r="F885" s="226" t="s">
        <v>2086</v>
      </c>
      <c r="G885" s="227"/>
      <c r="H885" s="227"/>
      <c r="I885" s="216"/>
      <c r="J885" s="225">
        <v>587</v>
      </c>
      <c r="K885" s="246">
        <v>1.3506944444444445E-2</v>
      </c>
      <c r="L885" s="225" t="s">
        <v>2042</v>
      </c>
      <c r="M885" s="219"/>
      <c r="N885" s="219"/>
      <c r="O885" s="216"/>
      <c r="P885" s="216"/>
      <c r="Q885" s="216"/>
      <c r="R885" s="220"/>
      <c r="S885" s="220"/>
      <c r="T885" s="220"/>
      <c r="U885" s="230"/>
      <c r="V885" s="231"/>
      <c r="W885" s="232"/>
      <c r="X885" s="233"/>
      <c r="Y885" s="219"/>
      <c r="Z885" s="219"/>
    </row>
    <row r="886" spans="1:26" ht="15.75" thickBot="1">
      <c r="A886" s="225">
        <v>724</v>
      </c>
      <c r="B886" s="216"/>
      <c r="C886" s="219"/>
      <c r="D886" s="216"/>
      <c r="E886" s="216" t="s">
        <v>2087</v>
      </c>
      <c r="F886" s="226" t="s">
        <v>2088</v>
      </c>
      <c r="G886" s="227"/>
      <c r="H886" s="227"/>
      <c r="I886" s="216"/>
      <c r="J886" s="225">
        <v>304</v>
      </c>
      <c r="K886" s="246">
        <v>2.2141203703703705E-2</v>
      </c>
      <c r="L886" s="225" t="s">
        <v>2042</v>
      </c>
      <c r="M886" s="219"/>
      <c r="N886" s="219"/>
      <c r="O886" s="216"/>
      <c r="P886" s="216"/>
      <c r="Q886" s="216"/>
      <c r="R886" s="220"/>
      <c r="S886" s="220"/>
      <c r="T886" s="220"/>
      <c r="U886" s="230"/>
      <c r="V886" s="231"/>
      <c r="W886" s="232"/>
      <c r="X886" s="233"/>
      <c r="Y886" s="219"/>
      <c r="Z886" s="219"/>
    </row>
    <row r="887" spans="1:26" ht="15.75" thickBot="1">
      <c r="A887" s="225">
        <v>725</v>
      </c>
      <c r="B887" s="216"/>
      <c r="C887" s="219"/>
      <c r="D887" s="216"/>
      <c r="E887" s="216" t="s">
        <v>2089</v>
      </c>
      <c r="F887" s="226" t="s">
        <v>2090</v>
      </c>
      <c r="G887" s="227"/>
      <c r="H887" s="227"/>
      <c r="I887" s="216"/>
      <c r="J887" s="225">
        <v>361</v>
      </c>
      <c r="K887" s="246">
        <v>2.568287037037037E-2</v>
      </c>
      <c r="L887" s="225" t="s">
        <v>2042</v>
      </c>
      <c r="M887" s="219"/>
      <c r="N887" s="219"/>
      <c r="O887" s="216"/>
      <c r="P887" s="216"/>
      <c r="Q887" s="216"/>
      <c r="R887" s="220"/>
      <c r="S887" s="220"/>
      <c r="T887" s="220"/>
      <c r="U887" s="230"/>
      <c r="V887" s="231"/>
      <c r="W887" s="232"/>
      <c r="X887" s="233"/>
      <c r="Y887" s="219"/>
      <c r="Z887" s="219"/>
    </row>
    <row r="888" spans="1:26" ht="15.75" thickBot="1">
      <c r="A888" s="225">
        <v>726</v>
      </c>
      <c r="B888" s="216"/>
      <c r="C888" s="219"/>
      <c r="D888" s="216"/>
      <c r="E888" s="216" t="s">
        <v>2091</v>
      </c>
      <c r="F888" s="226" t="s">
        <v>2092</v>
      </c>
      <c r="G888" s="227"/>
      <c r="H888" s="227"/>
      <c r="I888" s="216"/>
      <c r="J888" s="225">
        <v>2200</v>
      </c>
      <c r="K888" s="246">
        <v>1.9722222222222221E-2</v>
      </c>
      <c r="L888" s="225" t="s">
        <v>2042</v>
      </c>
      <c r="M888" s="219"/>
      <c r="N888" s="219"/>
      <c r="O888" s="216"/>
      <c r="P888" s="216"/>
      <c r="Q888" s="216"/>
      <c r="R888" s="220"/>
      <c r="S888" s="220"/>
      <c r="T888" s="220"/>
      <c r="U888" s="230"/>
      <c r="V888" s="231"/>
      <c r="W888" s="232"/>
      <c r="X888" s="233"/>
      <c r="Y888" s="219"/>
      <c r="Z888" s="219"/>
    </row>
    <row r="889" spans="1:26" ht="15.75" thickBot="1">
      <c r="A889" s="225">
        <v>727</v>
      </c>
      <c r="B889" s="216"/>
      <c r="C889" s="219"/>
      <c r="D889" s="216"/>
      <c r="E889" s="216" t="s">
        <v>2093</v>
      </c>
      <c r="F889" s="226" t="s">
        <v>2094</v>
      </c>
      <c r="G889" s="227"/>
      <c r="H889" s="227"/>
      <c r="I889" s="216"/>
      <c r="J889" s="225">
        <v>1600</v>
      </c>
      <c r="K889" s="246">
        <v>3.3888888888888885E-2</v>
      </c>
      <c r="L889" s="225" t="s">
        <v>2042</v>
      </c>
      <c r="M889" s="219"/>
      <c r="N889" s="219"/>
      <c r="O889" s="216"/>
      <c r="P889" s="216"/>
      <c r="Q889" s="216"/>
      <c r="R889" s="220"/>
      <c r="S889" s="220"/>
      <c r="T889" s="220"/>
      <c r="U889" s="230"/>
      <c r="V889" s="231"/>
      <c r="W889" s="232"/>
      <c r="X889" s="233"/>
      <c r="Y889" s="219"/>
      <c r="Z889" s="219"/>
    </row>
    <row r="890" spans="1:26" ht="15.75" thickBot="1">
      <c r="A890" s="225">
        <v>728</v>
      </c>
      <c r="B890" s="216"/>
      <c r="C890" s="219"/>
      <c r="D890" s="216"/>
      <c r="E890" s="216" t="s">
        <v>2095</v>
      </c>
      <c r="F890" s="226" t="s">
        <v>2096</v>
      </c>
      <c r="G890" s="227"/>
      <c r="H890" s="227"/>
      <c r="I890" s="216"/>
      <c r="J890" s="225">
        <v>245</v>
      </c>
      <c r="K890" s="246">
        <v>2.344907407407407E-2</v>
      </c>
      <c r="L890" s="225" t="s">
        <v>2042</v>
      </c>
      <c r="M890" s="219"/>
      <c r="N890" s="219"/>
      <c r="O890" s="216"/>
      <c r="P890" s="216"/>
      <c r="Q890" s="216"/>
      <c r="R890" s="220"/>
      <c r="S890" s="220"/>
      <c r="T890" s="220"/>
      <c r="U890" s="230"/>
      <c r="V890" s="231"/>
      <c r="W890" s="232"/>
      <c r="X890" s="233"/>
      <c r="Y890" s="219"/>
      <c r="Z890" s="219"/>
    </row>
    <row r="891" spans="1:26" ht="15.75" thickBot="1">
      <c r="A891" s="225">
        <v>729</v>
      </c>
      <c r="B891" s="216"/>
      <c r="C891" s="219"/>
      <c r="D891" s="216"/>
      <c r="E891" s="216" t="s">
        <v>2097</v>
      </c>
      <c r="F891" s="226" t="s">
        <v>2098</v>
      </c>
      <c r="G891" s="227"/>
      <c r="H891" s="227"/>
      <c r="I891" s="216"/>
      <c r="J891" s="225">
        <v>479</v>
      </c>
      <c r="K891" s="246">
        <v>2.9953703703703705E-2</v>
      </c>
      <c r="L891" s="225" t="s">
        <v>2042</v>
      </c>
      <c r="M891" s="219"/>
      <c r="N891" s="219"/>
      <c r="O891" s="216"/>
      <c r="P891" s="216"/>
      <c r="Q891" s="216"/>
      <c r="R891" s="220"/>
      <c r="S891" s="220"/>
      <c r="T891" s="220"/>
      <c r="U891" s="230"/>
      <c r="V891" s="231"/>
      <c r="W891" s="232"/>
      <c r="X891" s="233"/>
      <c r="Y891" s="219"/>
      <c r="Z891" s="219"/>
    </row>
    <row r="892" spans="1:26" ht="15.75" thickBot="1">
      <c r="A892" s="225">
        <v>730</v>
      </c>
      <c r="B892" s="216"/>
      <c r="C892" s="219"/>
      <c r="D892" s="216"/>
      <c r="E892" s="216" t="s">
        <v>2099</v>
      </c>
      <c r="F892" s="226" t="s">
        <v>2100</v>
      </c>
      <c r="G892" s="227"/>
      <c r="H892" s="227"/>
      <c r="I892" s="216"/>
      <c r="J892" s="225">
        <v>217</v>
      </c>
      <c r="K892" s="246">
        <v>1.2881944444444446E-2</v>
      </c>
      <c r="L892" s="225" t="s">
        <v>2042</v>
      </c>
      <c r="M892" s="219"/>
      <c r="N892" s="219"/>
      <c r="O892" s="216"/>
      <c r="P892" s="216"/>
      <c r="Q892" s="216"/>
      <c r="R892" s="220"/>
      <c r="S892" s="220"/>
      <c r="T892" s="220"/>
      <c r="U892" s="230"/>
      <c r="V892" s="231"/>
      <c r="W892" s="232"/>
      <c r="X892" s="233"/>
      <c r="Y892" s="219"/>
      <c r="Z892" s="219"/>
    </row>
    <row r="893" spans="1:26" ht="15.75" thickBot="1">
      <c r="A893" s="225">
        <v>731</v>
      </c>
      <c r="B893" s="216"/>
      <c r="C893" s="219"/>
      <c r="D893" s="216"/>
      <c r="E893" s="216" t="s">
        <v>2101</v>
      </c>
      <c r="F893" s="226" t="s">
        <v>2102</v>
      </c>
      <c r="G893" s="227"/>
      <c r="H893" s="227"/>
      <c r="I893" s="216"/>
      <c r="J893" s="225">
        <v>5500</v>
      </c>
      <c r="K893" s="246">
        <v>1.8912037037037036E-2</v>
      </c>
      <c r="L893" s="225" t="s">
        <v>2042</v>
      </c>
      <c r="M893" s="219"/>
      <c r="N893" s="219"/>
      <c r="O893" s="216"/>
      <c r="P893" s="216"/>
      <c r="Q893" s="216"/>
      <c r="R893" s="220"/>
      <c r="S893" s="220"/>
      <c r="T893" s="220"/>
      <c r="U893" s="230"/>
      <c r="V893" s="231"/>
      <c r="W893" s="232"/>
      <c r="X893" s="233"/>
      <c r="Y893" s="219"/>
      <c r="Z893" s="219"/>
    </row>
    <row r="894" spans="1:26" ht="15.75" thickBot="1">
      <c r="A894" s="225">
        <v>732</v>
      </c>
      <c r="B894" s="216"/>
      <c r="C894" s="219"/>
      <c r="D894" s="216"/>
      <c r="E894" s="216" t="s">
        <v>2103</v>
      </c>
      <c r="F894" s="226" t="s">
        <v>2104</v>
      </c>
      <c r="G894" s="227"/>
      <c r="H894" s="227"/>
      <c r="I894" s="216"/>
      <c r="J894" s="225">
        <v>335</v>
      </c>
      <c r="K894" s="246">
        <v>2.3877314814814813E-2</v>
      </c>
      <c r="L894" s="225" t="s">
        <v>2042</v>
      </c>
      <c r="M894" s="219"/>
      <c r="N894" s="219"/>
      <c r="O894" s="216"/>
      <c r="P894" s="216"/>
      <c r="Q894" s="216"/>
      <c r="R894" s="220"/>
      <c r="S894" s="220"/>
      <c r="T894" s="220"/>
      <c r="U894" s="230"/>
      <c r="V894" s="231"/>
      <c r="W894" s="232"/>
      <c r="X894" s="233"/>
      <c r="Y894" s="219"/>
      <c r="Z894" s="219"/>
    </row>
    <row r="895" spans="1:26" ht="15.75" thickBot="1">
      <c r="A895" s="225">
        <v>733</v>
      </c>
      <c r="B895" s="216"/>
      <c r="C895" s="219"/>
      <c r="D895" s="216"/>
      <c r="E895" s="216" t="s">
        <v>2105</v>
      </c>
      <c r="F895" s="226" t="s">
        <v>2106</v>
      </c>
      <c r="G895" s="227"/>
      <c r="H895" s="227"/>
      <c r="I895" s="216"/>
      <c r="J895" s="225">
        <v>4400</v>
      </c>
      <c r="K895" s="246">
        <v>1.7638888888888888E-2</v>
      </c>
      <c r="L895" s="225" t="s">
        <v>2042</v>
      </c>
      <c r="M895" s="219"/>
      <c r="N895" s="219"/>
      <c r="O895" s="216"/>
      <c r="P895" s="216"/>
      <c r="Q895" s="216"/>
      <c r="R895" s="220"/>
      <c r="S895" s="220"/>
      <c r="T895" s="220"/>
      <c r="U895" s="230"/>
      <c r="V895" s="231"/>
      <c r="W895" s="232"/>
      <c r="X895" s="233"/>
      <c r="Y895" s="219"/>
      <c r="Z895" s="219"/>
    </row>
    <row r="896" spans="1:26" ht="15.75" thickBot="1">
      <c r="A896" s="225">
        <v>734</v>
      </c>
      <c r="B896" s="216"/>
      <c r="C896" s="219"/>
      <c r="D896" s="216"/>
      <c r="E896" s="216" t="s">
        <v>2107</v>
      </c>
      <c r="F896" s="226" t="s">
        <v>2108</v>
      </c>
      <c r="G896" s="227"/>
      <c r="H896" s="227"/>
      <c r="I896" s="216"/>
      <c r="J896" s="225">
        <v>1300</v>
      </c>
      <c r="K896" s="246">
        <v>1.2222222222222223E-2</v>
      </c>
      <c r="L896" s="225" t="s">
        <v>2042</v>
      </c>
      <c r="M896" s="219"/>
      <c r="N896" s="219"/>
      <c r="O896" s="216"/>
      <c r="P896" s="216"/>
      <c r="Q896" s="216"/>
      <c r="R896" s="220"/>
      <c r="S896" s="220"/>
      <c r="T896" s="220"/>
      <c r="U896" s="230"/>
      <c r="V896" s="231"/>
      <c r="W896" s="232"/>
      <c r="X896" s="233"/>
      <c r="Y896" s="219"/>
      <c r="Z896" s="219"/>
    </row>
    <row r="897" spans="1:26" ht="15.75" thickBot="1">
      <c r="A897" s="225">
        <v>735</v>
      </c>
      <c r="B897" s="216"/>
      <c r="C897" s="219"/>
      <c r="D897" s="216"/>
      <c r="E897" s="216" t="s">
        <v>2109</v>
      </c>
      <c r="F897" s="226" t="s">
        <v>2110</v>
      </c>
      <c r="G897" s="227"/>
      <c r="H897" s="227"/>
      <c r="I897" s="216"/>
      <c r="J897" s="225">
        <v>684</v>
      </c>
      <c r="K897" s="246">
        <v>3.0092592592592588E-3</v>
      </c>
      <c r="L897" s="225" t="s">
        <v>2042</v>
      </c>
      <c r="M897" s="219"/>
      <c r="N897" s="219"/>
      <c r="O897" s="216"/>
      <c r="P897" s="216"/>
      <c r="Q897" s="216"/>
      <c r="R897" s="220"/>
      <c r="S897" s="220"/>
      <c r="T897" s="220"/>
      <c r="U897" s="230"/>
      <c r="V897" s="231"/>
      <c r="W897" s="232"/>
      <c r="X897" s="233"/>
      <c r="Y897" s="219"/>
      <c r="Z897" s="219"/>
    </row>
    <row r="898" spans="1:26" ht="15.75" thickBot="1">
      <c r="A898" s="225">
        <v>736</v>
      </c>
      <c r="B898" s="216"/>
      <c r="C898" s="219"/>
      <c r="D898" s="216"/>
      <c r="E898" s="216" t="s">
        <v>2111</v>
      </c>
      <c r="F898" s="226" t="s">
        <v>2112</v>
      </c>
      <c r="G898" s="227"/>
      <c r="H898" s="227"/>
      <c r="I898" s="216"/>
      <c r="J898" s="225">
        <v>570</v>
      </c>
      <c r="K898" s="246">
        <v>5.2893518518518515E-3</v>
      </c>
      <c r="L898" s="225" t="s">
        <v>2042</v>
      </c>
      <c r="M898" s="219"/>
      <c r="N898" s="219"/>
      <c r="O898" s="216"/>
      <c r="P898" s="216"/>
      <c r="Q898" s="216"/>
      <c r="R898" s="220"/>
      <c r="S898" s="220"/>
      <c r="T898" s="220"/>
      <c r="U898" s="230"/>
      <c r="V898" s="231"/>
      <c r="W898" s="232"/>
      <c r="X898" s="233"/>
      <c r="Y898" s="219"/>
      <c r="Z898" s="219"/>
    </row>
    <row r="899" spans="1:26" ht="15.75" thickBot="1">
      <c r="A899" s="225">
        <v>737</v>
      </c>
      <c r="B899" s="216"/>
      <c r="C899" s="219"/>
      <c r="D899" s="216"/>
      <c r="E899" s="216" t="s">
        <v>2113</v>
      </c>
      <c r="F899" s="226" t="s">
        <v>2114</v>
      </c>
      <c r="G899" s="227"/>
      <c r="H899" s="227"/>
      <c r="I899" s="216"/>
      <c r="J899" s="225">
        <v>431</v>
      </c>
      <c r="K899" s="246">
        <v>5.347222222222222E-3</v>
      </c>
      <c r="L899" s="225" t="s">
        <v>2042</v>
      </c>
      <c r="M899" s="219"/>
      <c r="N899" s="219"/>
      <c r="O899" s="216"/>
      <c r="P899" s="216"/>
      <c r="Q899" s="216"/>
      <c r="R899" s="220"/>
      <c r="S899" s="220"/>
      <c r="T899" s="220"/>
      <c r="U899" s="230"/>
      <c r="V899" s="231"/>
      <c r="W899" s="232"/>
      <c r="X899" s="233"/>
      <c r="Y899" s="219"/>
      <c r="Z899" s="219"/>
    </row>
    <row r="900" spans="1:26" ht="15.75" thickBot="1">
      <c r="A900" s="225">
        <v>738</v>
      </c>
      <c r="B900" s="216"/>
      <c r="C900" s="219"/>
      <c r="D900" s="216"/>
      <c r="E900" s="216" t="s">
        <v>2115</v>
      </c>
      <c r="F900" s="226" t="s">
        <v>2116</v>
      </c>
      <c r="G900" s="227"/>
      <c r="H900" s="227"/>
      <c r="I900" s="216"/>
      <c r="J900" s="225">
        <v>1300</v>
      </c>
      <c r="K900" s="246">
        <v>2.2812499999999999E-2</v>
      </c>
      <c r="L900" s="225" t="s">
        <v>2042</v>
      </c>
      <c r="M900" s="219"/>
      <c r="N900" s="219"/>
      <c r="O900" s="216"/>
      <c r="P900" s="216"/>
      <c r="Q900" s="216"/>
      <c r="R900" s="220"/>
      <c r="S900" s="220"/>
      <c r="T900" s="220"/>
      <c r="U900" s="230"/>
      <c r="V900" s="231"/>
      <c r="W900" s="232"/>
      <c r="X900" s="233"/>
      <c r="Y900" s="219"/>
      <c r="Z900" s="219"/>
    </row>
    <row r="901" spans="1:26" ht="15.75" thickBot="1">
      <c r="A901" s="225">
        <v>739</v>
      </c>
      <c r="B901" s="216"/>
      <c r="C901" s="219"/>
      <c r="D901" s="216"/>
      <c r="E901" s="216" t="s">
        <v>2117</v>
      </c>
      <c r="F901" s="226" t="s">
        <v>2118</v>
      </c>
      <c r="G901" s="227"/>
      <c r="H901" s="227"/>
      <c r="I901" s="216"/>
      <c r="J901" s="225">
        <v>14000</v>
      </c>
      <c r="K901" s="246">
        <v>3.953703703703703E-2</v>
      </c>
      <c r="L901" s="225" t="s">
        <v>2042</v>
      </c>
      <c r="M901" s="219"/>
      <c r="N901" s="219"/>
      <c r="O901" s="216"/>
      <c r="P901" s="216"/>
      <c r="Q901" s="216"/>
      <c r="R901" s="220"/>
      <c r="S901" s="220"/>
      <c r="T901" s="220"/>
      <c r="U901" s="230"/>
      <c r="V901" s="231"/>
      <c r="W901" s="232"/>
      <c r="X901" s="233"/>
      <c r="Y901" s="219"/>
      <c r="Z901" s="219"/>
    </row>
    <row r="902" spans="1:26" ht="15.75" thickBot="1">
      <c r="A902" s="225">
        <v>740</v>
      </c>
      <c r="B902" s="216"/>
      <c r="C902" s="219"/>
      <c r="D902" s="216"/>
      <c r="E902" s="216" t="s">
        <v>2119</v>
      </c>
      <c r="F902" s="226" t="s">
        <v>2120</v>
      </c>
      <c r="G902" s="227"/>
      <c r="H902" s="227"/>
      <c r="I902" s="216"/>
      <c r="J902" s="225">
        <v>8100</v>
      </c>
      <c r="K902" s="246">
        <v>7.2326388888888885E-2</v>
      </c>
      <c r="L902" s="225" t="s">
        <v>2042</v>
      </c>
      <c r="M902" s="219"/>
      <c r="N902" s="219"/>
      <c r="O902" s="216"/>
      <c r="P902" s="216"/>
      <c r="Q902" s="216"/>
      <c r="R902" s="220"/>
      <c r="S902" s="220"/>
      <c r="T902" s="220"/>
      <c r="U902" s="230"/>
      <c r="V902" s="231"/>
      <c r="W902" s="232"/>
      <c r="X902" s="233"/>
      <c r="Y902" s="219"/>
      <c r="Z902" s="219"/>
    </row>
    <row r="903" spans="1:26" ht="15.75" thickBot="1">
      <c r="A903" s="225">
        <v>741</v>
      </c>
      <c r="B903" s="216"/>
      <c r="C903" s="219"/>
      <c r="D903" s="216"/>
      <c r="E903" s="216" t="s">
        <v>2121</v>
      </c>
      <c r="F903" s="226" t="s">
        <v>2120</v>
      </c>
      <c r="G903" s="227"/>
      <c r="H903" s="227"/>
      <c r="I903" s="216"/>
      <c r="J903" s="225">
        <v>9400</v>
      </c>
      <c r="K903" s="246">
        <v>7.0520833333333324E-2</v>
      </c>
      <c r="L903" s="225" t="s">
        <v>2042</v>
      </c>
      <c r="M903" s="219"/>
      <c r="N903" s="219"/>
      <c r="O903" s="216"/>
      <c r="P903" s="216"/>
      <c r="Q903" s="216"/>
      <c r="R903" s="220"/>
      <c r="S903" s="220"/>
      <c r="T903" s="220"/>
      <c r="U903" s="230"/>
      <c r="V903" s="231"/>
      <c r="W903" s="232"/>
      <c r="X903" s="233"/>
      <c r="Y903" s="219"/>
      <c r="Z903" s="219"/>
    </row>
    <row r="904" spans="1:26" ht="15.75" thickBot="1">
      <c r="A904" s="225">
        <v>742</v>
      </c>
      <c r="B904" s="216"/>
      <c r="C904" s="219"/>
      <c r="D904" s="216"/>
      <c r="E904" s="216" t="s">
        <v>2123</v>
      </c>
      <c r="F904" s="226" t="s">
        <v>2124</v>
      </c>
      <c r="G904" s="227"/>
      <c r="H904" s="227"/>
      <c r="I904" s="216"/>
      <c r="J904" s="225">
        <v>18000</v>
      </c>
      <c r="K904" s="246">
        <v>4.4467592592592593E-2</v>
      </c>
      <c r="L904" s="225" t="s">
        <v>2042</v>
      </c>
      <c r="M904" s="219"/>
      <c r="N904" s="219"/>
      <c r="O904" s="216"/>
      <c r="P904" s="216"/>
      <c r="Q904" s="216"/>
      <c r="R904" s="220"/>
      <c r="S904" s="220"/>
      <c r="T904" s="220"/>
      <c r="U904" s="230"/>
      <c r="V904" s="231"/>
      <c r="W904" s="232"/>
      <c r="X904" s="233"/>
      <c r="Y904" s="219"/>
      <c r="Z904" s="219"/>
    </row>
    <row r="905" spans="1:26" ht="15.75" thickBot="1">
      <c r="A905" s="225">
        <v>743</v>
      </c>
      <c r="B905" s="216"/>
      <c r="C905" s="219"/>
      <c r="D905" s="216"/>
      <c r="E905" s="216" t="s">
        <v>2125</v>
      </c>
      <c r="F905" s="226" t="s">
        <v>2126</v>
      </c>
      <c r="G905" s="227"/>
      <c r="H905" s="227"/>
      <c r="I905" s="216"/>
      <c r="J905" s="225">
        <v>10000</v>
      </c>
      <c r="K905" s="246">
        <v>4.5474537037037042E-2</v>
      </c>
      <c r="L905" s="225" t="s">
        <v>2042</v>
      </c>
      <c r="M905" s="219"/>
      <c r="N905" s="219"/>
      <c r="O905" s="216"/>
      <c r="P905" s="216"/>
      <c r="Q905" s="216"/>
      <c r="R905" s="220"/>
      <c r="S905" s="220"/>
      <c r="T905" s="220"/>
      <c r="U905" s="230"/>
      <c r="V905" s="231"/>
      <c r="W905" s="232"/>
      <c r="X905" s="233"/>
      <c r="Y905" s="219"/>
      <c r="Z905" s="219"/>
    </row>
    <row r="906" spans="1:26" ht="15.75" thickBot="1">
      <c r="A906" s="225">
        <v>744</v>
      </c>
      <c r="B906" s="216"/>
      <c r="C906" s="219"/>
      <c r="D906" s="216"/>
      <c r="E906" s="216" t="s">
        <v>2127</v>
      </c>
      <c r="F906" s="226" t="s">
        <v>2128</v>
      </c>
      <c r="G906" s="227"/>
      <c r="H906" s="227"/>
      <c r="I906" s="216"/>
      <c r="J906" s="225">
        <v>114000</v>
      </c>
      <c r="K906" s="246">
        <v>4.2650462962962959E-2</v>
      </c>
      <c r="L906" s="225" t="s">
        <v>2129</v>
      </c>
      <c r="M906" s="219"/>
      <c r="N906" s="219"/>
      <c r="O906" s="216"/>
      <c r="P906" s="216"/>
      <c r="Q906" s="216"/>
      <c r="R906" s="220"/>
      <c r="S906" s="220"/>
      <c r="T906" s="220"/>
      <c r="U906" s="230"/>
      <c r="V906" s="231"/>
      <c r="W906" s="232"/>
      <c r="X906" s="233"/>
      <c r="Y906" s="219"/>
      <c r="Z906" s="219"/>
    </row>
    <row r="907" spans="1:26" ht="15.75" thickBot="1">
      <c r="A907" s="225">
        <v>745</v>
      </c>
      <c r="B907" s="216"/>
      <c r="C907" s="219"/>
      <c r="D907" s="216"/>
      <c r="E907" s="216" t="s">
        <v>2130</v>
      </c>
      <c r="F907" s="226" t="s">
        <v>2131</v>
      </c>
      <c r="G907" s="227"/>
      <c r="H907" s="227"/>
      <c r="I907" s="216"/>
      <c r="J907" s="225">
        <v>27000</v>
      </c>
      <c r="K907" s="246">
        <v>4.2083333333333334E-2</v>
      </c>
      <c r="L907" s="225" t="s">
        <v>2129</v>
      </c>
      <c r="M907" s="219"/>
      <c r="N907" s="219"/>
      <c r="O907" s="216"/>
      <c r="P907" s="216"/>
      <c r="Q907" s="216"/>
      <c r="R907" s="220"/>
      <c r="S907" s="220"/>
      <c r="T907" s="220"/>
      <c r="U907" s="230"/>
      <c r="V907" s="231"/>
      <c r="W907" s="232"/>
      <c r="X907" s="233"/>
      <c r="Y907" s="219"/>
      <c r="Z907" s="219"/>
    </row>
    <row r="908" spans="1:26" ht="15.75" thickBot="1">
      <c r="A908" s="225">
        <v>746</v>
      </c>
      <c r="B908" s="216"/>
      <c r="C908" s="219"/>
      <c r="D908" s="216"/>
      <c r="E908" s="216" t="s">
        <v>2132</v>
      </c>
      <c r="F908" s="226" t="s">
        <v>2133</v>
      </c>
      <c r="G908" s="227"/>
      <c r="H908" s="227"/>
      <c r="I908" s="216"/>
      <c r="J908" s="225">
        <v>17000</v>
      </c>
      <c r="K908" s="246">
        <v>3.9560185185185184E-2</v>
      </c>
      <c r="L908" s="225" t="s">
        <v>2129</v>
      </c>
      <c r="M908" s="219"/>
      <c r="N908" s="219"/>
      <c r="O908" s="216"/>
      <c r="P908" s="216"/>
      <c r="Q908" s="216"/>
      <c r="R908" s="220"/>
      <c r="S908" s="220"/>
      <c r="T908" s="220"/>
      <c r="U908" s="230"/>
      <c r="V908" s="231"/>
      <c r="W908" s="232"/>
      <c r="X908" s="233"/>
      <c r="Y908" s="219"/>
      <c r="Z908" s="219"/>
    </row>
    <row r="909" spans="1:26" ht="15.75" thickBot="1">
      <c r="A909" s="225">
        <v>747</v>
      </c>
      <c r="B909" s="216"/>
      <c r="C909" s="219"/>
      <c r="D909" s="216"/>
      <c r="E909" s="216" t="s">
        <v>2134</v>
      </c>
      <c r="F909" s="226" t="s">
        <v>2135</v>
      </c>
      <c r="G909" s="227"/>
      <c r="H909" s="227"/>
      <c r="I909" s="216"/>
      <c r="J909" s="225">
        <v>24000</v>
      </c>
      <c r="K909" s="246">
        <v>4.5462962962962962E-2</v>
      </c>
      <c r="L909" s="225" t="s">
        <v>2129</v>
      </c>
      <c r="M909" s="219"/>
      <c r="N909" s="219"/>
      <c r="O909" s="216"/>
      <c r="P909" s="216"/>
      <c r="Q909" s="216"/>
      <c r="R909" s="220"/>
      <c r="S909" s="220"/>
      <c r="T909" s="220"/>
      <c r="U909" s="230"/>
      <c r="V909" s="231"/>
      <c r="W909" s="232"/>
      <c r="X909" s="233"/>
      <c r="Y909" s="219"/>
      <c r="Z909" s="219"/>
    </row>
    <row r="910" spans="1:26" ht="15.75" thickBot="1">
      <c r="A910" s="225">
        <v>748</v>
      </c>
      <c r="B910" s="216"/>
      <c r="C910" s="219"/>
      <c r="D910" s="216"/>
      <c r="E910" s="216" t="s">
        <v>2136</v>
      </c>
      <c r="F910" s="226" t="s">
        <v>2137</v>
      </c>
      <c r="G910" s="227"/>
      <c r="H910" s="227"/>
      <c r="I910" s="216"/>
      <c r="J910" s="225">
        <v>22000</v>
      </c>
      <c r="K910" s="246">
        <v>3.2557870370370369E-2</v>
      </c>
      <c r="L910" s="225" t="s">
        <v>2129</v>
      </c>
      <c r="M910" s="219"/>
      <c r="N910" s="219"/>
      <c r="O910" s="216"/>
      <c r="P910" s="216"/>
      <c r="Q910" s="216"/>
      <c r="R910" s="220"/>
      <c r="S910" s="220"/>
      <c r="T910" s="220"/>
      <c r="U910" s="230"/>
      <c r="V910" s="231"/>
      <c r="W910" s="232"/>
      <c r="X910" s="233"/>
      <c r="Y910" s="219"/>
      <c r="Z910" s="219"/>
    </row>
    <row r="911" spans="1:26" ht="15.75" thickBot="1">
      <c r="A911" s="225">
        <v>749</v>
      </c>
      <c r="B911" s="216"/>
      <c r="C911" s="219"/>
      <c r="D911" s="216"/>
      <c r="E911" s="216" t="s">
        <v>2138</v>
      </c>
      <c r="F911" s="226" t="s">
        <v>2139</v>
      </c>
      <c r="G911" s="227"/>
      <c r="H911" s="227"/>
      <c r="I911" s="216"/>
      <c r="J911" s="225">
        <v>27000</v>
      </c>
      <c r="K911" s="246">
        <v>3.3379629629629634E-2</v>
      </c>
      <c r="L911" s="225" t="s">
        <v>2140</v>
      </c>
      <c r="M911" s="219"/>
      <c r="N911" s="219"/>
      <c r="O911" s="216"/>
      <c r="P911" s="216"/>
      <c r="Q911" s="216"/>
      <c r="R911" s="220"/>
      <c r="S911" s="220"/>
      <c r="T911" s="220"/>
      <c r="U911" s="230"/>
      <c r="V911" s="231"/>
      <c r="W911" s="232"/>
      <c r="X911" s="233"/>
      <c r="Y911" s="219"/>
      <c r="Z911" s="219"/>
    </row>
    <row r="912" spans="1:26" ht="15.75" thickBot="1">
      <c r="A912" s="225">
        <v>750</v>
      </c>
      <c r="B912" s="216"/>
      <c r="C912" s="219"/>
      <c r="D912" s="216"/>
      <c r="E912" s="216" t="s">
        <v>2141</v>
      </c>
      <c r="F912" s="226" t="s">
        <v>2142</v>
      </c>
      <c r="G912" s="227"/>
      <c r="H912" s="227"/>
      <c r="I912" s="216"/>
      <c r="J912" s="225">
        <v>14000</v>
      </c>
      <c r="K912" s="246">
        <v>4.2465277777777775E-2</v>
      </c>
      <c r="L912" s="225" t="s">
        <v>2140</v>
      </c>
      <c r="M912" s="219"/>
      <c r="N912" s="219"/>
      <c r="O912" s="216"/>
      <c r="P912" s="216"/>
      <c r="Q912" s="216"/>
      <c r="R912" s="220"/>
      <c r="S912" s="220"/>
      <c r="T912" s="220"/>
      <c r="U912" s="230"/>
      <c r="V912" s="231"/>
      <c r="W912" s="232"/>
      <c r="X912" s="233"/>
      <c r="Y912" s="219"/>
      <c r="Z912" s="219"/>
    </row>
    <row r="913" spans="1:26" ht="15.75" thickBot="1">
      <c r="A913" s="225">
        <v>751</v>
      </c>
      <c r="B913" s="216"/>
      <c r="C913" s="219"/>
      <c r="D913" s="216"/>
      <c r="E913" s="216" t="s">
        <v>2143</v>
      </c>
      <c r="F913" s="226" t="s">
        <v>2144</v>
      </c>
      <c r="G913" s="227"/>
      <c r="H913" s="227"/>
      <c r="I913" s="216"/>
      <c r="J913" s="225">
        <v>6700</v>
      </c>
      <c r="K913" s="246">
        <v>8.1655092592592585E-2</v>
      </c>
      <c r="L913" s="225" t="s">
        <v>2140</v>
      </c>
      <c r="M913" s="219"/>
      <c r="N913" s="219"/>
      <c r="O913" s="216"/>
      <c r="P913" s="216"/>
      <c r="Q913" s="216"/>
      <c r="R913" s="220"/>
      <c r="S913" s="220"/>
      <c r="T913" s="220"/>
      <c r="U913" s="230"/>
      <c r="V913" s="231"/>
      <c r="W913" s="232"/>
      <c r="X913" s="233"/>
      <c r="Y913" s="219"/>
      <c r="Z913" s="219"/>
    </row>
    <row r="914" spans="1:26" ht="15.75" thickBot="1">
      <c r="A914" s="225">
        <v>752</v>
      </c>
      <c r="B914" s="216"/>
      <c r="C914" s="219"/>
      <c r="D914" s="216"/>
      <c r="E914" s="216" t="s">
        <v>2145</v>
      </c>
      <c r="F914" s="226" t="s">
        <v>2146</v>
      </c>
      <c r="G914" s="227"/>
      <c r="H914" s="227"/>
      <c r="I914" s="216"/>
      <c r="J914" s="225">
        <v>39000</v>
      </c>
      <c r="K914" s="246">
        <v>2.6944444444444441E-2</v>
      </c>
      <c r="L914" s="225" t="s">
        <v>2140</v>
      </c>
      <c r="M914" s="219"/>
      <c r="N914" s="219"/>
      <c r="O914" s="216"/>
      <c r="P914" s="216"/>
      <c r="Q914" s="216"/>
      <c r="R914" s="220"/>
      <c r="S914" s="220"/>
      <c r="T914" s="220"/>
      <c r="U914" s="230"/>
      <c r="V914" s="231"/>
      <c r="W914" s="232"/>
      <c r="X914" s="233"/>
      <c r="Y914" s="219"/>
      <c r="Z914" s="219"/>
    </row>
    <row r="915" spans="1:26" ht="15.75" thickBot="1">
      <c r="A915" s="225">
        <v>753</v>
      </c>
      <c r="B915" s="216"/>
      <c r="C915" s="219"/>
      <c r="D915" s="216"/>
      <c r="E915" s="216" t="s">
        <v>2147</v>
      </c>
      <c r="F915" s="226" t="s">
        <v>2148</v>
      </c>
      <c r="G915" s="227"/>
      <c r="H915" s="227"/>
      <c r="I915" s="216"/>
      <c r="J915" s="225">
        <v>10000</v>
      </c>
      <c r="K915" s="246">
        <v>4.3171296296296298E-2</v>
      </c>
      <c r="L915" s="225" t="s">
        <v>2140</v>
      </c>
      <c r="M915" s="219"/>
      <c r="N915" s="219"/>
      <c r="O915" s="216"/>
      <c r="P915" s="216"/>
      <c r="Q915" s="216"/>
      <c r="R915" s="220"/>
      <c r="S915" s="220"/>
      <c r="T915" s="220"/>
      <c r="U915" s="230"/>
      <c r="V915" s="231"/>
      <c r="W915" s="232"/>
      <c r="X915" s="233"/>
      <c r="Y915" s="219"/>
      <c r="Z915" s="219"/>
    </row>
    <row r="916" spans="1:26" ht="15.75" thickBot="1">
      <c r="A916" s="225">
        <v>754</v>
      </c>
      <c r="B916" s="216"/>
      <c r="C916" s="219"/>
      <c r="D916" s="216"/>
      <c r="E916" s="216" t="s">
        <v>2149</v>
      </c>
      <c r="F916" s="226" t="s">
        <v>2150</v>
      </c>
      <c r="G916" s="227"/>
      <c r="H916" s="227"/>
      <c r="I916" s="216"/>
      <c r="J916" s="225">
        <v>22000</v>
      </c>
      <c r="K916" s="246">
        <v>5.1331018518518519E-2</v>
      </c>
      <c r="L916" s="225" t="s">
        <v>2151</v>
      </c>
      <c r="M916" s="219"/>
      <c r="N916" s="219"/>
      <c r="O916" s="216"/>
      <c r="P916" s="216"/>
      <c r="Q916" s="216"/>
      <c r="R916" s="220"/>
      <c r="S916" s="220"/>
      <c r="T916" s="220"/>
      <c r="U916" s="230"/>
      <c r="V916" s="231"/>
      <c r="W916" s="232"/>
      <c r="X916" s="233"/>
      <c r="Y916" s="219"/>
      <c r="Z916" s="219"/>
    </row>
    <row r="917" spans="1:26" ht="15.75" thickBot="1">
      <c r="A917" s="225">
        <v>755</v>
      </c>
      <c r="B917" s="216"/>
      <c r="C917" s="219"/>
      <c r="D917" s="216"/>
      <c r="E917" s="216" t="s">
        <v>2152</v>
      </c>
      <c r="F917" s="226" t="s">
        <v>2153</v>
      </c>
      <c r="G917" s="227"/>
      <c r="H917" s="227"/>
      <c r="I917" s="216"/>
      <c r="J917" s="225">
        <v>12000</v>
      </c>
      <c r="K917" s="246">
        <v>6.8020833333333336E-2</v>
      </c>
      <c r="L917" s="225" t="s">
        <v>2154</v>
      </c>
      <c r="M917" s="219"/>
      <c r="N917" s="219"/>
      <c r="O917" s="216"/>
      <c r="P917" s="216"/>
      <c r="Q917" s="216"/>
      <c r="R917" s="220"/>
      <c r="S917" s="220"/>
      <c r="T917" s="220"/>
      <c r="U917" s="230"/>
      <c r="V917" s="231"/>
      <c r="W917" s="232"/>
      <c r="X917" s="233"/>
      <c r="Y917" s="219"/>
      <c r="Z917" s="219"/>
    </row>
    <row r="918" spans="1:26" ht="15.75" thickBot="1">
      <c r="A918" s="225">
        <v>756</v>
      </c>
      <c r="B918" s="216"/>
      <c r="C918" s="219"/>
      <c r="D918" s="216"/>
      <c r="E918" s="216" t="s">
        <v>2155</v>
      </c>
      <c r="F918" s="226" t="s">
        <v>2156</v>
      </c>
      <c r="G918" s="227"/>
      <c r="H918" s="227"/>
      <c r="I918" s="216"/>
      <c r="J918" s="225">
        <v>17000</v>
      </c>
      <c r="K918" s="246">
        <v>3.3888888888888885E-2</v>
      </c>
      <c r="L918" s="225" t="s">
        <v>2157</v>
      </c>
      <c r="M918" s="219"/>
      <c r="N918" s="219"/>
      <c r="O918" s="216"/>
      <c r="P918" s="216"/>
      <c r="Q918" s="216"/>
      <c r="R918" s="220"/>
      <c r="S918" s="220"/>
      <c r="T918" s="220"/>
      <c r="U918" s="230"/>
      <c r="V918" s="231"/>
      <c r="W918" s="232"/>
      <c r="X918" s="233"/>
      <c r="Y918" s="219"/>
      <c r="Z918" s="219"/>
    </row>
    <row r="919" spans="1:26" ht="15.75" thickBot="1">
      <c r="A919" s="225">
        <v>757</v>
      </c>
      <c r="B919" s="219" t="s">
        <v>122</v>
      </c>
      <c r="C919" s="219"/>
      <c r="D919" s="219" t="s">
        <v>120</v>
      </c>
      <c r="E919" s="216" t="s">
        <v>1491</v>
      </c>
      <c r="F919" s="226" t="s">
        <v>1493</v>
      </c>
      <c r="G919" s="227"/>
      <c r="H919" s="227"/>
      <c r="I919" s="216"/>
      <c r="J919" s="225">
        <v>9500</v>
      </c>
      <c r="K919" s="246">
        <v>5.0972222222222224E-2</v>
      </c>
      <c r="L919" s="236" t="s">
        <v>1495</v>
      </c>
      <c r="M919" s="219"/>
      <c r="N919" s="219"/>
      <c r="O919" s="216"/>
      <c r="P919" s="229">
        <v>43007</v>
      </c>
      <c r="Q919" s="216"/>
      <c r="R919" s="220"/>
      <c r="S919" s="220"/>
      <c r="T919" s="220"/>
      <c r="U919" s="230"/>
      <c r="V919" s="231"/>
      <c r="W919" s="232" t="s">
        <v>292</v>
      </c>
      <c r="X919" s="233"/>
      <c r="Y919" s="219"/>
      <c r="Z919" s="219"/>
    </row>
    <row r="920" spans="1:26" ht="15.75" thickBot="1">
      <c r="A920" s="225">
        <v>757.01</v>
      </c>
      <c r="B920" s="219" t="s">
        <v>122</v>
      </c>
      <c r="C920" s="219"/>
      <c r="D920" s="219" t="s">
        <v>120</v>
      </c>
      <c r="E920" s="216"/>
      <c r="F920" s="238"/>
      <c r="G920" s="227" t="s">
        <v>1501</v>
      </c>
      <c r="H920" s="227" t="s">
        <v>1503</v>
      </c>
      <c r="I920" s="216"/>
      <c r="J920" s="216"/>
      <c r="K920" s="219"/>
      <c r="L920" s="236"/>
      <c r="M920" s="246">
        <v>6.134259259259259E-4</v>
      </c>
      <c r="N920" s="246">
        <v>1.5740740740740741E-3</v>
      </c>
      <c r="O920" s="228">
        <v>9.6064814814814808E-4</v>
      </c>
      <c r="P920" s="229">
        <v>43007</v>
      </c>
      <c r="Q920" s="226" t="s">
        <v>2378</v>
      </c>
      <c r="R920" s="220"/>
      <c r="S920" s="220"/>
      <c r="T920" s="220"/>
      <c r="U920" s="230"/>
      <c r="V920" s="231"/>
      <c r="W920" s="232"/>
      <c r="X920" s="233"/>
      <c r="Y920" s="219"/>
      <c r="Z920" s="219"/>
    </row>
    <row r="921" spans="1:26" ht="15.75" thickBot="1">
      <c r="A921" s="225">
        <v>757.02</v>
      </c>
      <c r="B921" s="219" t="s">
        <v>122</v>
      </c>
      <c r="C921" s="219"/>
      <c r="D921" s="219" t="s">
        <v>120</v>
      </c>
      <c r="E921" s="216"/>
      <c r="F921" s="238"/>
      <c r="G921" s="227" t="s">
        <v>1507</v>
      </c>
      <c r="H921" s="227" t="s">
        <v>1508</v>
      </c>
      <c r="I921" s="216"/>
      <c r="J921" s="216"/>
      <c r="K921" s="219"/>
      <c r="L921" s="225"/>
      <c r="M921" s="246">
        <v>2.8703703703703708E-3</v>
      </c>
      <c r="N921" s="246">
        <v>4.6296296296296302E-3</v>
      </c>
      <c r="O921" s="228">
        <v>1.7592592592592592E-3</v>
      </c>
      <c r="P921" s="229">
        <v>43007</v>
      </c>
      <c r="Q921" s="218" t="s">
        <v>2379</v>
      </c>
      <c r="R921" s="220" t="s">
        <v>94</v>
      </c>
      <c r="S921" s="220" t="s">
        <v>94</v>
      </c>
      <c r="T921" s="220" t="s">
        <v>94</v>
      </c>
      <c r="U921" s="230"/>
      <c r="V921" s="231"/>
      <c r="W921" s="232"/>
      <c r="X921" s="233"/>
      <c r="Y921" s="219"/>
      <c r="Z921" s="219" t="s">
        <v>1511</v>
      </c>
    </row>
    <row r="922" spans="1:26" ht="15.75" thickBot="1">
      <c r="A922" s="225">
        <v>757.03</v>
      </c>
      <c r="B922" s="219" t="s">
        <v>122</v>
      </c>
      <c r="C922" s="219"/>
      <c r="D922" s="219" t="s">
        <v>120</v>
      </c>
      <c r="E922" s="216"/>
      <c r="F922" s="238"/>
      <c r="G922" s="227" t="s">
        <v>1512</v>
      </c>
      <c r="H922" s="227" t="s">
        <v>1513</v>
      </c>
      <c r="I922" s="216"/>
      <c r="J922" s="216"/>
      <c r="K922" s="219"/>
      <c r="L922" s="225"/>
      <c r="M922" s="246">
        <v>4.7222222222222223E-3</v>
      </c>
      <c r="N922" s="246">
        <v>5.7291666666666671E-3</v>
      </c>
      <c r="O922" s="228">
        <v>1.0069444444444444E-3</v>
      </c>
      <c r="P922" s="229">
        <v>43007</v>
      </c>
      <c r="Q922" s="218" t="s">
        <v>2380</v>
      </c>
      <c r="R922" s="220" t="s">
        <v>94</v>
      </c>
      <c r="S922" s="220" t="s">
        <v>94</v>
      </c>
      <c r="T922" s="220" t="s">
        <v>94</v>
      </c>
      <c r="U922" s="230"/>
      <c r="V922" s="231"/>
      <c r="W922" s="232"/>
      <c r="X922" s="233"/>
      <c r="Y922" s="219"/>
      <c r="Z922" s="238" t="s">
        <v>1514</v>
      </c>
    </row>
    <row r="923" spans="1:26" ht="15.75" thickBot="1">
      <c r="A923" s="225">
        <v>757.04</v>
      </c>
      <c r="B923" s="219" t="s">
        <v>122</v>
      </c>
      <c r="C923" s="219"/>
      <c r="D923" s="219" t="s">
        <v>120</v>
      </c>
      <c r="E923" s="216"/>
      <c r="F923" s="238"/>
      <c r="G923" s="227" t="s">
        <v>1515</v>
      </c>
      <c r="H923" s="227" t="s">
        <v>1517</v>
      </c>
      <c r="I923" s="216"/>
      <c r="J923" s="216"/>
      <c r="K923" s="219"/>
      <c r="L923" s="225"/>
      <c r="M923" s="246">
        <v>5.9606481481481489E-3</v>
      </c>
      <c r="N923" s="246">
        <v>9.2361111111111116E-3</v>
      </c>
      <c r="O923" s="228">
        <v>3.2754629629629631E-3</v>
      </c>
      <c r="P923" s="229">
        <v>43007</v>
      </c>
      <c r="Q923" s="218" t="s">
        <v>2381</v>
      </c>
      <c r="R923" s="220" t="s">
        <v>94</v>
      </c>
      <c r="S923" s="220" t="s">
        <v>94</v>
      </c>
      <c r="T923" s="220" t="s">
        <v>94</v>
      </c>
      <c r="U923" s="230"/>
      <c r="V923" s="231"/>
      <c r="W923" s="232"/>
      <c r="X923" s="233"/>
      <c r="Y923" s="219"/>
      <c r="Z923" s="238" t="s">
        <v>1519</v>
      </c>
    </row>
    <row r="924" spans="1:26" ht="15.75" thickBot="1">
      <c r="A924" s="225">
        <v>757.05</v>
      </c>
      <c r="B924" s="219" t="s">
        <v>122</v>
      </c>
      <c r="C924" s="219"/>
      <c r="D924" s="219" t="s">
        <v>120</v>
      </c>
      <c r="E924" s="216"/>
      <c r="F924" s="227"/>
      <c r="G924" s="227" t="s">
        <v>1520</v>
      </c>
      <c r="H924" s="227" t="s">
        <v>1521</v>
      </c>
      <c r="I924" s="216"/>
      <c r="J924" s="216"/>
      <c r="K924" s="219"/>
      <c r="L924" s="225"/>
      <c r="M924" s="246">
        <v>9.2361111111111116E-3</v>
      </c>
      <c r="N924" s="246">
        <v>1.0416666666666666E-2</v>
      </c>
      <c r="O924" s="228">
        <v>1.1805555555555556E-3</v>
      </c>
      <c r="P924" s="229">
        <v>43007</v>
      </c>
      <c r="Q924" s="218" t="s">
        <v>2382</v>
      </c>
      <c r="R924" s="220" t="s">
        <v>94</v>
      </c>
      <c r="S924" s="220" t="s">
        <v>94</v>
      </c>
      <c r="T924" s="220" t="s">
        <v>94</v>
      </c>
      <c r="U924" s="230"/>
      <c r="V924" s="231"/>
      <c r="W924" s="232"/>
      <c r="X924" s="233"/>
      <c r="Y924" s="219"/>
      <c r="Z924" s="219" t="s">
        <v>1524</v>
      </c>
    </row>
    <row r="925" spans="1:26" ht="15.75" thickBot="1">
      <c r="A925" s="225">
        <v>757.06</v>
      </c>
      <c r="B925" s="219" t="s">
        <v>122</v>
      </c>
      <c r="C925" s="219"/>
      <c r="D925" s="219" t="s">
        <v>120</v>
      </c>
      <c r="E925" s="216"/>
      <c r="F925" s="238"/>
      <c r="G925" s="227" t="s">
        <v>1525</v>
      </c>
      <c r="H925" s="227" t="s">
        <v>1526</v>
      </c>
      <c r="I925" s="216"/>
      <c r="J925" s="216"/>
      <c r="K925" s="219"/>
      <c r="L925" s="225"/>
      <c r="M925" s="246">
        <v>1.091435185185185E-2</v>
      </c>
      <c r="N925" s="246">
        <v>1.3611111111111114E-2</v>
      </c>
      <c r="O925" s="228">
        <v>2.6967592592592594E-3</v>
      </c>
      <c r="P925" s="229">
        <v>43007</v>
      </c>
      <c r="Q925" s="218" t="s">
        <v>2383</v>
      </c>
      <c r="R925" s="220" t="s">
        <v>94</v>
      </c>
      <c r="S925" s="220" t="s">
        <v>94</v>
      </c>
      <c r="T925" s="220" t="s">
        <v>94</v>
      </c>
      <c r="U925" s="230"/>
      <c r="V925" s="231"/>
      <c r="W925" s="232"/>
      <c r="X925" s="233"/>
      <c r="Y925" s="219"/>
      <c r="Z925" s="238" t="s">
        <v>1527</v>
      </c>
    </row>
    <row r="926" spans="1:26" ht="15.75" thickBot="1">
      <c r="A926" s="225">
        <v>757.07</v>
      </c>
      <c r="B926" s="219" t="s">
        <v>122</v>
      </c>
      <c r="C926" s="219"/>
      <c r="D926" s="219" t="s">
        <v>120</v>
      </c>
      <c r="E926" s="216"/>
      <c r="F926" s="238"/>
      <c r="G926" s="227" t="s">
        <v>1528</v>
      </c>
      <c r="H926" s="227"/>
      <c r="I926" s="216"/>
      <c r="J926" s="216"/>
      <c r="K926" s="219"/>
      <c r="L926" s="225"/>
      <c r="M926" s="246">
        <v>1.6006944444444445E-2</v>
      </c>
      <c r="N926" s="246">
        <v>1.9351851851851853E-2</v>
      </c>
      <c r="O926" s="228">
        <v>3.3449074074074071E-3</v>
      </c>
      <c r="P926" s="229">
        <v>43007</v>
      </c>
      <c r="Q926" s="218" t="s">
        <v>2384</v>
      </c>
      <c r="R926" s="220" t="s">
        <v>94</v>
      </c>
      <c r="S926" s="220" t="s">
        <v>94</v>
      </c>
      <c r="T926" s="220" t="s">
        <v>94</v>
      </c>
      <c r="U926" s="230"/>
      <c r="V926" s="231"/>
      <c r="W926" s="232"/>
      <c r="X926" s="233"/>
      <c r="Y926" s="219"/>
      <c r="Z926" s="238" t="s">
        <v>1527</v>
      </c>
    </row>
    <row r="927" spans="1:26" ht="15.75" thickBot="1">
      <c r="A927" s="225">
        <v>757.08</v>
      </c>
      <c r="B927" s="219" t="s">
        <v>122</v>
      </c>
      <c r="C927" s="219"/>
      <c r="D927" s="219" t="s">
        <v>120</v>
      </c>
      <c r="E927" s="216"/>
      <c r="F927" s="238"/>
      <c r="G927" s="227" t="s">
        <v>1531</v>
      </c>
      <c r="H927" s="227" t="s">
        <v>1532</v>
      </c>
      <c r="I927" s="216"/>
      <c r="J927" s="216"/>
      <c r="K927" s="219"/>
      <c r="L927" s="225"/>
      <c r="M927" s="246">
        <v>2.0196759259259258E-2</v>
      </c>
      <c r="N927" s="246">
        <v>2.3298611111111107E-2</v>
      </c>
      <c r="O927" s="228">
        <v>3.1018518518518522E-3</v>
      </c>
      <c r="P927" s="229">
        <v>43007</v>
      </c>
      <c r="Q927" s="218" t="s">
        <v>2385</v>
      </c>
      <c r="R927" s="220" t="s">
        <v>94</v>
      </c>
      <c r="S927" s="220" t="s">
        <v>94</v>
      </c>
      <c r="T927" s="220" t="s">
        <v>94</v>
      </c>
      <c r="U927" s="230"/>
      <c r="V927" s="231"/>
      <c r="W927" s="232"/>
      <c r="X927" s="233"/>
      <c r="Y927" s="219"/>
      <c r="Z927" s="238" t="s">
        <v>1535</v>
      </c>
    </row>
    <row r="928" spans="1:26" ht="15.75" thickBot="1">
      <c r="A928" s="225">
        <v>757.09</v>
      </c>
      <c r="B928" s="219" t="s">
        <v>122</v>
      </c>
      <c r="C928" s="219"/>
      <c r="D928" s="219" t="s">
        <v>120</v>
      </c>
      <c r="E928" s="216"/>
      <c r="F928" s="238"/>
      <c r="G928" s="227" t="s">
        <v>1536</v>
      </c>
      <c r="H928" s="227" t="s">
        <v>1537</v>
      </c>
      <c r="I928" s="216"/>
      <c r="J928" s="216"/>
      <c r="K928" s="219"/>
      <c r="L928" s="225"/>
      <c r="M928" s="246">
        <v>2.4305555555555556E-2</v>
      </c>
      <c r="N928" s="246">
        <v>2.6388888888888889E-2</v>
      </c>
      <c r="O928" s="228">
        <v>2.0833333333333333E-3</v>
      </c>
      <c r="P928" s="229">
        <v>43007</v>
      </c>
      <c r="Q928" s="218" t="s">
        <v>2386</v>
      </c>
      <c r="R928" s="220" t="s">
        <v>94</v>
      </c>
      <c r="S928" s="220" t="s">
        <v>94</v>
      </c>
      <c r="T928" s="220" t="s">
        <v>94</v>
      </c>
      <c r="U928" s="230"/>
      <c r="V928" s="231"/>
      <c r="W928" s="232"/>
      <c r="X928" s="233"/>
      <c r="Y928" s="219"/>
      <c r="Z928" s="238" t="s">
        <v>1538</v>
      </c>
    </row>
    <row r="929" spans="1:26" ht="15.75" thickBot="1">
      <c r="A929" s="225">
        <v>757.1</v>
      </c>
      <c r="B929" s="219" t="s">
        <v>122</v>
      </c>
      <c r="C929" s="219"/>
      <c r="D929" s="219" t="s">
        <v>120</v>
      </c>
      <c r="E929" s="216"/>
      <c r="F929" s="238"/>
      <c r="G929" s="238" t="s">
        <v>1539</v>
      </c>
      <c r="H929" s="227"/>
      <c r="I929" s="216"/>
      <c r="J929" s="216"/>
      <c r="K929" s="219"/>
      <c r="L929" s="225"/>
      <c r="M929" s="246">
        <v>2.6412037037037036E-2</v>
      </c>
      <c r="N929" s="246">
        <v>2.9085648148148149E-2</v>
      </c>
      <c r="O929" s="228">
        <v>2.673611111111111E-3</v>
      </c>
      <c r="P929" s="229">
        <v>43007</v>
      </c>
      <c r="Q929" s="218" t="s">
        <v>2387</v>
      </c>
      <c r="R929" s="220" t="s">
        <v>94</v>
      </c>
      <c r="S929" s="220" t="s">
        <v>94</v>
      </c>
      <c r="T929" s="220" t="s">
        <v>94</v>
      </c>
      <c r="U929" s="230"/>
      <c r="V929" s="231"/>
      <c r="W929" s="232"/>
      <c r="X929" s="233"/>
      <c r="Y929" s="219"/>
      <c r="Z929" s="219"/>
    </row>
    <row r="930" spans="1:26" ht="15.75" thickBot="1">
      <c r="A930" s="225">
        <v>757.11</v>
      </c>
      <c r="B930" s="219" t="s">
        <v>122</v>
      </c>
      <c r="C930" s="219"/>
      <c r="D930" s="219" t="s">
        <v>120</v>
      </c>
      <c r="E930" s="216"/>
      <c r="F930" s="238"/>
      <c r="G930" s="238" t="s">
        <v>1542</v>
      </c>
      <c r="H930" s="227"/>
      <c r="I930" s="216"/>
      <c r="J930" s="216"/>
      <c r="K930" s="219"/>
      <c r="L930" s="225"/>
      <c r="M930" s="246">
        <v>2.9108796296296296E-2</v>
      </c>
      <c r="N930" s="246">
        <v>3.1226851851851853E-2</v>
      </c>
      <c r="O930" s="228">
        <v>2.1180555555555553E-3</v>
      </c>
      <c r="P930" s="229">
        <v>43007</v>
      </c>
      <c r="Q930" s="218" t="s">
        <v>2388</v>
      </c>
      <c r="R930" s="220" t="s">
        <v>94</v>
      </c>
      <c r="S930" s="220" t="s">
        <v>94</v>
      </c>
      <c r="T930" s="220" t="s">
        <v>94</v>
      </c>
      <c r="U930" s="230"/>
      <c r="V930" s="231"/>
      <c r="W930" s="232"/>
      <c r="X930" s="233"/>
      <c r="Y930" s="219"/>
      <c r="Z930" s="219"/>
    </row>
    <row r="931" spans="1:26" ht="15.75" thickBot="1">
      <c r="A931" s="225">
        <v>757.12</v>
      </c>
      <c r="B931" s="219" t="s">
        <v>122</v>
      </c>
      <c r="C931" s="219"/>
      <c r="D931" s="219" t="s">
        <v>120</v>
      </c>
      <c r="E931" s="216"/>
      <c r="F931" s="238"/>
      <c r="G931" s="219" t="s">
        <v>1545</v>
      </c>
      <c r="H931" s="227" t="s">
        <v>1546</v>
      </c>
      <c r="I931" s="216"/>
      <c r="J931" s="216"/>
      <c r="K931" s="219"/>
      <c r="L931" s="225"/>
      <c r="M931" s="246">
        <v>3.125E-2</v>
      </c>
      <c r="N931" s="246">
        <v>3.1226851851851853E-2</v>
      </c>
      <c r="O931" s="228">
        <v>3.3055555555555553E-2</v>
      </c>
      <c r="P931" s="229">
        <v>43007</v>
      </c>
      <c r="Q931" s="218" t="s">
        <v>2389</v>
      </c>
      <c r="R931" s="220" t="s">
        <v>94</v>
      </c>
      <c r="S931" s="220" t="s">
        <v>94</v>
      </c>
      <c r="T931" s="220" t="s">
        <v>94</v>
      </c>
      <c r="U931" s="230"/>
      <c r="V931" s="231"/>
      <c r="W931" s="232"/>
      <c r="X931" s="233"/>
      <c r="Y931" s="219"/>
      <c r="Z931" s="219"/>
    </row>
    <row r="932" spans="1:26" ht="15.75" thickBot="1">
      <c r="A932" s="216"/>
      <c r="B932" s="216"/>
      <c r="C932" s="219"/>
      <c r="D932" s="219"/>
      <c r="E932" s="216"/>
      <c r="F932" s="227"/>
      <c r="G932" s="216"/>
      <c r="H932" s="216"/>
      <c r="I932" s="216"/>
      <c r="J932" s="216"/>
      <c r="K932" s="219"/>
      <c r="L932" s="225"/>
      <c r="M932" s="219"/>
      <c r="N932" s="219"/>
      <c r="O932" s="219"/>
      <c r="P932" s="219"/>
      <c r="Q932" s="219"/>
      <c r="R932" s="240"/>
      <c r="S932" s="240"/>
      <c r="T932" s="240"/>
      <c r="U932" s="230"/>
      <c r="V932" s="231"/>
      <c r="W932" s="242"/>
      <c r="X932" s="233"/>
      <c r="Y932" s="219"/>
      <c r="Z932" s="219"/>
    </row>
    <row r="933" spans="1:26" ht="15.75" thickBot="1">
      <c r="A933" s="216"/>
      <c r="B933" s="216"/>
      <c r="C933" s="219"/>
      <c r="D933" s="219"/>
      <c r="E933" s="216"/>
      <c r="F933" s="227"/>
      <c r="G933" s="216"/>
      <c r="H933" s="216"/>
      <c r="I933" s="216"/>
      <c r="J933" s="216"/>
      <c r="K933" s="219"/>
      <c r="L933" s="225"/>
      <c r="M933" s="219"/>
      <c r="N933" s="219"/>
      <c r="O933" s="219"/>
      <c r="P933" s="219"/>
      <c r="Q933" s="219"/>
      <c r="R933" s="240"/>
      <c r="S933" s="240"/>
      <c r="T933" s="240"/>
      <c r="U933" s="230"/>
      <c r="V933" s="231"/>
      <c r="W933" s="242"/>
      <c r="X933" s="233"/>
      <c r="Y933" s="219"/>
      <c r="Z933" s="219"/>
    </row>
    <row r="934" spans="1:26" ht="15.75" thickBot="1">
      <c r="A934" s="216"/>
      <c r="B934" s="216"/>
      <c r="C934" s="219"/>
      <c r="D934" s="219"/>
      <c r="E934" s="216"/>
      <c r="F934" s="227"/>
      <c r="G934" s="216"/>
      <c r="H934" s="216"/>
      <c r="I934" s="216"/>
      <c r="J934" s="216"/>
      <c r="K934" s="219"/>
      <c r="L934" s="225"/>
      <c r="M934" s="219"/>
      <c r="N934" s="219"/>
      <c r="O934" s="219"/>
      <c r="P934" s="219"/>
      <c r="Q934" s="219"/>
      <c r="R934" s="240"/>
      <c r="S934" s="240"/>
      <c r="T934" s="240"/>
      <c r="U934" s="230"/>
      <c r="V934" s="231"/>
      <c r="W934" s="242"/>
      <c r="X934" s="233"/>
      <c r="Y934" s="219"/>
      <c r="Z934" s="219"/>
    </row>
    <row r="935" spans="1:26" ht="15.75" thickBot="1">
      <c r="A935" s="216"/>
      <c r="B935" s="216"/>
      <c r="C935" s="219"/>
      <c r="D935" s="219"/>
      <c r="E935" s="216"/>
      <c r="F935" s="227"/>
      <c r="G935" s="216"/>
      <c r="H935" s="216"/>
      <c r="I935" s="216"/>
      <c r="J935" s="216"/>
      <c r="K935" s="219"/>
      <c r="L935" s="225"/>
      <c r="M935" s="219"/>
      <c r="N935" s="219"/>
      <c r="O935" s="219"/>
      <c r="P935" s="219"/>
      <c r="Q935" s="219"/>
      <c r="R935" s="240"/>
      <c r="S935" s="240"/>
      <c r="T935" s="240"/>
      <c r="U935" s="230"/>
      <c r="V935" s="231"/>
      <c r="W935" s="242"/>
      <c r="X935" s="233"/>
      <c r="Y935" s="219"/>
      <c r="Z935" s="219"/>
    </row>
    <row r="936" spans="1:26" ht="15.75" thickBot="1">
      <c r="A936" s="216"/>
      <c r="B936" s="216"/>
      <c r="C936" s="219"/>
      <c r="D936" s="219"/>
      <c r="E936" s="216"/>
      <c r="F936" s="227"/>
      <c r="G936" s="216"/>
      <c r="H936" s="216"/>
      <c r="I936" s="216"/>
      <c r="J936" s="216"/>
      <c r="K936" s="219"/>
      <c r="L936" s="225"/>
      <c r="M936" s="219"/>
      <c r="N936" s="219"/>
      <c r="O936" s="219"/>
      <c r="P936" s="219"/>
      <c r="Q936" s="219"/>
      <c r="R936" s="240"/>
      <c r="S936" s="240"/>
      <c r="T936" s="240"/>
      <c r="U936" s="230"/>
      <c r="V936" s="231"/>
      <c r="W936" s="242"/>
      <c r="X936" s="233"/>
      <c r="Y936" s="219"/>
      <c r="Z936" s="219"/>
    </row>
    <row r="937" spans="1:26" ht="15.75" thickBot="1">
      <c r="A937" s="216"/>
      <c r="B937" s="216"/>
      <c r="C937" s="219"/>
      <c r="D937" s="219"/>
      <c r="E937" s="216"/>
      <c r="F937" s="227"/>
      <c r="G937" s="216"/>
      <c r="H937" s="216"/>
      <c r="I937" s="216"/>
      <c r="J937" s="216"/>
      <c r="K937" s="219"/>
      <c r="L937" s="225"/>
      <c r="M937" s="219"/>
      <c r="N937" s="219"/>
      <c r="O937" s="219"/>
      <c r="P937" s="219"/>
      <c r="Q937" s="219"/>
      <c r="R937" s="240"/>
      <c r="S937" s="240"/>
      <c r="T937" s="240"/>
      <c r="U937" s="230"/>
      <c r="V937" s="231"/>
      <c r="W937" s="242"/>
      <c r="X937" s="233"/>
      <c r="Y937" s="219"/>
      <c r="Z937" s="219"/>
    </row>
    <row r="938" spans="1:26" ht="15.75" thickBot="1">
      <c r="A938" s="216"/>
      <c r="B938" s="216"/>
      <c r="C938" s="219"/>
      <c r="D938" s="219"/>
      <c r="E938" s="216"/>
      <c r="F938" s="216"/>
      <c r="G938" s="216"/>
      <c r="H938" s="216"/>
      <c r="I938" s="216"/>
      <c r="J938" s="216"/>
      <c r="K938" s="219"/>
      <c r="L938" s="225"/>
      <c r="M938" s="219"/>
      <c r="N938" s="219"/>
      <c r="O938" s="219"/>
      <c r="P938" s="219"/>
      <c r="Q938" s="219"/>
      <c r="R938" s="240"/>
      <c r="S938" s="240"/>
      <c r="T938" s="240"/>
      <c r="U938" s="230"/>
      <c r="V938" s="231"/>
      <c r="W938" s="242"/>
      <c r="X938" s="233"/>
      <c r="Y938" s="219"/>
      <c r="Z938" s="219"/>
    </row>
    <row r="939" spans="1:26" ht="15.75" thickBot="1">
      <c r="A939" s="219"/>
      <c r="B939" s="219"/>
      <c r="C939" s="219"/>
      <c r="D939" s="219"/>
      <c r="E939" s="219"/>
      <c r="F939" s="219"/>
      <c r="G939" s="219"/>
      <c r="H939" s="219"/>
      <c r="I939" s="219"/>
      <c r="J939" s="219"/>
      <c r="K939" s="219"/>
      <c r="L939" s="219"/>
      <c r="M939" s="219"/>
      <c r="N939" s="219"/>
      <c r="O939" s="219"/>
      <c r="P939" s="219"/>
      <c r="Q939" s="219"/>
      <c r="R939" s="240"/>
      <c r="S939" s="240"/>
      <c r="T939" s="240"/>
      <c r="U939" s="230"/>
      <c r="V939" s="231"/>
      <c r="W939" s="242"/>
      <c r="X939" s="233"/>
      <c r="Y939" s="219"/>
      <c r="Z939" s="219"/>
    </row>
    <row r="940" spans="1:26" ht="15.75" thickBot="1">
      <c r="A940" s="219"/>
      <c r="B940" s="219"/>
      <c r="C940" s="219"/>
      <c r="D940" s="219"/>
      <c r="E940" s="219"/>
      <c r="F940" s="219"/>
      <c r="G940" s="219"/>
      <c r="H940" s="219"/>
      <c r="I940" s="219"/>
      <c r="J940" s="219"/>
      <c r="K940" s="219"/>
      <c r="L940" s="219"/>
      <c r="M940" s="219"/>
      <c r="N940" s="219"/>
      <c r="O940" s="219"/>
      <c r="P940" s="219"/>
      <c r="Q940" s="219"/>
      <c r="R940" s="240"/>
      <c r="S940" s="240"/>
      <c r="T940" s="240"/>
      <c r="U940" s="230"/>
      <c r="V940" s="231"/>
      <c r="W940" s="242"/>
      <c r="X940" s="233"/>
      <c r="Y940" s="219"/>
      <c r="Z940" s="219"/>
    </row>
    <row r="941" spans="1:26" ht="15.75" thickBot="1">
      <c r="A941" s="219"/>
      <c r="B941" s="219"/>
      <c r="C941" s="219"/>
      <c r="D941" s="219"/>
      <c r="E941" s="219"/>
      <c r="F941" s="219"/>
      <c r="G941" s="219"/>
      <c r="H941" s="219"/>
      <c r="I941" s="219"/>
      <c r="J941" s="219"/>
      <c r="K941" s="219"/>
      <c r="L941" s="219"/>
      <c r="M941" s="219"/>
      <c r="N941" s="219"/>
      <c r="O941" s="219"/>
      <c r="P941" s="219"/>
      <c r="Q941" s="219"/>
      <c r="R941" s="240"/>
      <c r="S941" s="240"/>
      <c r="T941" s="240"/>
      <c r="U941" s="230"/>
      <c r="V941" s="231"/>
      <c r="W941" s="242"/>
      <c r="X941" s="233"/>
      <c r="Y941" s="219"/>
      <c r="Z941" s="219"/>
    </row>
    <row r="942" spans="1:26" ht="15.75" thickBot="1">
      <c r="A942" s="219"/>
      <c r="B942" s="219"/>
      <c r="C942" s="219"/>
      <c r="D942" s="219"/>
      <c r="E942" s="219"/>
      <c r="F942" s="219"/>
      <c r="G942" s="219"/>
      <c r="H942" s="219"/>
      <c r="I942" s="219"/>
      <c r="J942" s="219"/>
      <c r="K942" s="219"/>
      <c r="L942" s="219"/>
      <c r="M942" s="219"/>
      <c r="N942" s="219"/>
      <c r="O942" s="219"/>
      <c r="P942" s="219"/>
      <c r="Q942" s="219"/>
      <c r="R942" s="240"/>
      <c r="S942" s="240"/>
      <c r="T942" s="240"/>
      <c r="U942" s="230"/>
      <c r="V942" s="231"/>
      <c r="W942" s="242"/>
      <c r="X942" s="233"/>
      <c r="Y942" s="219"/>
      <c r="Z942" s="219"/>
    </row>
    <row r="943" spans="1:26" ht="15.75" thickBot="1">
      <c r="A943" s="219"/>
      <c r="B943" s="219"/>
      <c r="C943" s="219"/>
      <c r="D943" s="219"/>
      <c r="E943" s="219"/>
      <c r="F943" s="219"/>
      <c r="G943" s="219"/>
      <c r="H943" s="219"/>
      <c r="I943" s="219"/>
      <c r="J943" s="219"/>
      <c r="K943" s="219"/>
      <c r="L943" s="219"/>
      <c r="M943" s="219"/>
      <c r="N943" s="219"/>
      <c r="O943" s="219"/>
      <c r="P943" s="219"/>
      <c r="Q943" s="219"/>
      <c r="R943" s="240"/>
      <c r="S943" s="240"/>
      <c r="T943" s="240"/>
      <c r="U943" s="230"/>
      <c r="V943" s="231"/>
      <c r="W943" s="242"/>
      <c r="X943" s="233"/>
      <c r="Y943" s="219"/>
      <c r="Z943" s="219"/>
    </row>
    <row r="944" spans="1:26" ht="15.75" thickBot="1">
      <c r="A944" s="219"/>
      <c r="B944" s="219"/>
      <c r="C944" s="219"/>
      <c r="D944" s="219"/>
      <c r="E944" s="219"/>
      <c r="F944" s="219"/>
      <c r="G944" s="219"/>
      <c r="H944" s="219"/>
      <c r="I944" s="219"/>
      <c r="J944" s="219"/>
      <c r="K944" s="219"/>
      <c r="L944" s="219"/>
      <c r="M944" s="219"/>
      <c r="N944" s="219"/>
      <c r="O944" s="219"/>
      <c r="P944" s="219"/>
      <c r="Q944" s="219"/>
      <c r="R944" s="240"/>
      <c r="S944" s="240"/>
      <c r="T944" s="240"/>
      <c r="U944" s="230"/>
      <c r="V944" s="231"/>
      <c r="W944" s="242"/>
      <c r="X944" s="233"/>
      <c r="Y944" s="219"/>
      <c r="Z944" s="219"/>
    </row>
    <row r="945" spans="1:26" ht="15.75" thickBot="1">
      <c r="A945" s="219"/>
      <c r="B945" s="219"/>
      <c r="C945" s="219"/>
      <c r="D945" s="219"/>
      <c r="E945" s="219"/>
      <c r="F945" s="219"/>
      <c r="G945" s="219"/>
      <c r="H945" s="219"/>
      <c r="I945" s="219"/>
      <c r="J945" s="219"/>
      <c r="K945" s="219"/>
      <c r="L945" s="219"/>
      <c r="M945" s="219"/>
      <c r="N945" s="219"/>
      <c r="O945" s="219"/>
      <c r="P945" s="219"/>
      <c r="Q945" s="219"/>
      <c r="R945" s="240"/>
      <c r="S945" s="240"/>
      <c r="T945" s="240"/>
      <c r="U945" s="230"/>
      <c r="V945" s="231"/>
      <c r="W945" s="242"/>
      <c r="X945" s="233"/>
      <c r="Y945" s="219"/>
      <c r="Z945" s="219"/>
    </row>
    <row r="946" spans="1:26" ht="15.75" thickBot="1">
      <c r="A946" s="219"/>
      <c r="B946" s="219"/>
      <c r="C946" s="219"/>
      <c r="D946" s="219"/>
      <c r="E946" s="219"/>
      <c r="F946" s="219"/>
      <c r="G946" s="219"/>
      <c r="H946" s="219"/>
      <c r="I946" s="219"/>
      <c r="J946" s="219"/>
      <c r="K946" s="219"/>
      <c r="L946" s="219"/>
      <c r="M946" s="219"/>
      <c r="N946" s="219"/>
      <c r="O946" s="219"/>
      <c r="P946" s="219"/>
      <c r="Q946" s="219"/>
      <c r="R946" s="240"/>
      <c r="S946" s="240"/>
      <c r="T946" s="240"/>
      <c r="U946" s="230"/>
      <c r="V946" s="231"/>
      <c r="W946" s="242"/>
      <c r="X946" s="233"/>
      <c r="Y946" s="219"/>
      <c r="Z946" s="219"/>
    </row>
    <row r="947" spans="1:26" ht="15.75" thickBot="1">
      <c r="A947" s="219"/>
      <c r="B947" s="219"/>
      <c r="C947" s="219"/>
      <c r="D947" s="219"/>
      <c r="E947" s="219"/>
      <c r="F947" s="219"/>
      <c r="G947" s="219"/>
      <c r="H947" s="219"/>
      <c r="I947" s="219"/>
      <c r="J947" s="219"/>
      <c r="K947" s="219"/>
      <c r="L947" s="219"/>
      <c r="M947" s="219"/>
      <c r="N947" s="219"/>
      <c r="O947" s="219"/>
      <c r="P947" s="219"/>
      <c r="Q947" s="219"/>
      <c r="R947" s="240"/>
      <c r="S947" s="240"/>
      <c r="T947" s="240"/>
      <c r="U947" s="230"/>
      <c r="V947" s="231"/>
      <c r="W947" s="242"/>
      <c r="X947" s="233"/>
      <c r="Y947" s="219"/>
      <c r="Z947" s="219"/>
    </row>
    <row r="948" spans="1:26" ht="15.75" thickBot="1">
      <c r="A948" s="219"/>
      <c r="B948" s="219"/>
      <c r="C948" s="219"/>
      <c r="D948" s="219"/>
      <c r="E948" s="219"/>
      <c r="F948" s="219"/>
      <c r="G948" s="219"/>
      <c r="H948" s="219"/>
      <c r="I948" s="219"/>
      <c r="J948" s="219"/>
      <c r="K948" s="219"/>
      <c r="L948" s="219"/>
      <c r="M948" s="219"/>
      <c r="N948" s="219"/>
      <c r="O948" s="219"/>
      <c r="P948" s="219"/>
      <c r="Q948" s="219"/>
      <c r="R948" s="240"/>
      <c r="S948" s="240"/>
      <c r="T948" s="240"/>
      <c r="U948" s="230"/>
      <c r="V948" s="231"/>
      <c r="W948" s="242"/>
      <c r="X948" s="233"/>
      <c r="Y948" s="219"/>
      <c r="Z948" s="219"/>
    </row>
    <row r="949" spans="1:26" ht="15.75" thickBot="1">
      <c r="A949" s="219"/>
      <c r="B949" s="219"/>
      <c r="C949" s="219"/>
      <c r="D949" s="219"/>
      <c r="E949" s="219"/>
      <c r="F949" s="219"/>
      <c r="G949" s="219"/>
      <c r="H949" s="219"/>
      <c r="I949" s="219"/>
      <c r="J949" s="219"/>
      <c r="K949" s="219"/>
      <c r="L949" s="219"/>
      <c r="M949" s="219"/>
      <c r="N949" s="219"/>
      <c r="O949" s="219"/>
      <c r="P949" s="219"/>
      <c r="Q949" s="219"/>
      <c r="R949" s="240"/>
      <c r="S949" s="240"/>
      <c r="T949" s="240"/>
      <c r="U949" s="230"/>
      <c r="V949" s="231"/>
      <c r="W949" s="242"/>
      <c r="X949" s="233"/>
      <c r="Y949" s="219"/>
      <c r="Z949" s="219"/>
    </row>
    <row r="950" spans="1:26" ht="15.75" thickBot="1">
      <c r="A950" s="219"/>
      <c r="B950" s="219"/>
      <c r="C950" s="219"/>
      <c r="D950" s="219"/>
      <c r="E950" s="219"/>
      <c r="F950" s="219"/>
      <c r="G950" s="219"/>
      <c r="H950" s="219"/>
      <c r="I950" s="219"/>
      <c r="J950" s="219"/>
      <c r="K950" s="219"/>
      <c r="L950" s="219"/>
      <c r="M950" s="219"/>
      <c r="N950" s="219"/>
      <c r="O950" s="219"/>
      <c r="P950" s="219"/>
      <c r="Q950" s="219"/>
      <c r="R950" s="240"/>
      <c r="S950" s="240"/>
      <c r="T950" s="240"/>
      <c r="U950" s="230"/>
      <c r="V950" s="231"/>
      <c r="W950" s="242"/>
      <c r="X950" s="233"/>
      <c r="Y950" s="219"/>
      <c r="Z950" s="219"/>
    </row>
    <row r="951" spans="1:26" ht="15.75" thickBot="1">
      <c r="A951" s="219"/>
      <c r="B951" s="219"/>
      <c r="C951" s="219"/>
      <c r="D951" s="219"/>
      <c r="E951" s="219"/>
      <c r="F951" s="219"/>
      <c r="G951" s="219"/>
      <c r="H951" s="219"/>
      <c r="I951" s="219"/>
      <c r="J951" s="219"/>
      <c r="K951" s="219"/>
      <c r="L951" s="219"/>
      <c r="M951" s="219"/>
      <c r="N951" s="219"/>
      <c r="O951" s="219"/>
      <c r="P951" s="219"/>
      <c r="Q951" s="219"/>
      <c r="R951" s="240"/>
      <c r="S951" s="240"/>
      <c r="T951" s="240"/>
      <c r="U951" s="230"/>
      <c r="V951" s="231"/>
      <c r="W951" s="242"/>
      <c r="X951" s="233"/>
      <c r="Y951" s="219"/>
      <c r="Z951" s="219"/>
    </row>
    <row r="952" spans="1:26" ht="15.75" thickBot="1">
      <c r="A952" s="219"/>
      <c r="B952" s="219"/>
      <c r="C952" s="219"/>
      <c r="D952" s="219"/>
      <c r="E952" s="219"/>
      <c r="F952" s="219"/>
      <c r="G952" s="219"/>
      <c r="H952" s="219"/>
      <c r="I952" s="219"/>
      <c r="J952" s="219"/>
      <c r="K952" s="219"/>
      <c r="L952" s="219"/>
      <c r="M952" s="219"/>
      <c r="N952" s="219"/>
      <c r="O952" s="219"/>
      <c r="P952" s="219"/>
      <c r="Q952" s="219"/>
      <c r="R952" s="240"/>
      <c r="S952" s="240"/>
      <c r="T952" s="240"/>
      <c r="U952" s="230"/>
      <c r="V952" s="231"/>
      <c r="W952" s="242"/>
      <c r="X952" s="233"/>
      <c r="Y952" s="219"/>
      <c r="Z952" s="219"/>
    </row>
    <row r="953" spans="1:26" ht="15.75" thickBot="1">
      <c r="A953" s="219"/>
      <c r="B953" s="219"/>
      <c r="C953" s="219"/>
      <c r="D953" s="219"/>
      <c r="E953" s="219"/>
      <c r="F953" s="219"/>
      <c r="G953" s="219"/>
      <c r="H953" s="219"/>
      <c r="I953" s="219"/>
      <c r="J953" s="219"/>
      <c r="K953" s="219"/>
      <c r="L953" s="219"/>
      <c r="M953" s="219"/>
      <c r="N953" s="219"/>
      <c r="O953" s="219"/>
      <c r="P953" s="219"/>
      <c r="Q953" s="219"/>
      <c r="R953" s="240"/>
      <c r="S953" s="240"/>
      <c r="T953" s="240"/>
      <c r="U953" s="230"/>
      <c r="V953" s="231"/>
      <c r="W953" s="242"/>
      <c r="X953" s="233"/>
      <c r="Y953" s="219"/>
      <c r="Z953" s="219"/>
    </row>
    <row r="954" spans="1:26" ht="15.75" thickBot="1">
      <c r="A954" s="219"/>
      <c r="B954" s="219"/>
      <c r="C954" s="219"/>
      <c r="D954" s="219"/>
      <c r="E954" s="219"/>
      <c r="F954" s="219"/>
      <c r="G954" s="219"/>
      <c r="H954" s="219"/>
      <c r="I954" s="219"/>
      <c r="J954" s="219"/>
      <c r="K954" s="219"/>
      <c r="L954" s="219"/>
      <c r="M954" s="219"/>
      <c r="N954" s="219"/>
      <c r="O954" s="219"/>
      <c r="P954" s="219"/>
      <c r="Q954" s="219"/>
      <c r="R954" s="240"/>
      <c r="S954" s="240"/>
      <c r="T954" s="240"/>
      <c r="U954" s="230"/>
      <c r="V954" s="231"/>
      <c r="W954" s="242"/>
      <c r="X954" s="233"/>
      <c r="Y954" s="219"/>
      <c r="Z954" s="219"/>
    </row>
    <row r="955" spans="1:26" ht="15.75" thickBot="1">
      <c r="A955" s="219"/>
      <c r="B955" s="219"/>
      <c r="C955" s="219"/>
      <c r="D955" s="219"/>
      <c r="E955" s="219"/>
      <c r="F955" s="219"/>
      <c r="G955" s="219"/>
      <c r="H955" s="219"/>
      <c r="I955" s="219"/>
      <c r="J955" s="219"/>
      <c r="K955" s="219"/>
      <c r="L955" s="219"/>
      <c r="M955" s="219"/>
      <c r="N955" s="219"/>
      <c r="O955" s="219"/>
      <c r="P955" s="219"/>
      <c r="Q955" s="219"/>
      <c r="R955" s="240"/>
      <c r="S955" s="240"/>
      <c r="T955" s="240"/>
      <c r="U955" s="230"/>
      <c r="V955" s="231"/>
      <c r="W955" s="242"/>
      <c r="X955" s="233"/>
      <c r="Y955" s="219"/>
      <c r="Z955" s="219"/>
    </row>
    <row r="956" spans="1:26" ht="15.75" thickBot="1">
      <c r="A956" s="219"/>
      <c r="B956" s="219"/>
      <c r="C956" s="219"/>
      <c r="D956" s="219"/>
      <c r="E956" s="219"/>
      <c r="F956" s="219"/>
      <c r="G956" s="219"/>
      <c r="H956" s="219"/>
      <c r="I956" s="219"/>
      <c r="J956" s="219"/>
      <c r="K956" s="219"/>
      <c r="L956" s="219"/>
      <c r="M956" s="219"/>
      <c r="N956" s="219"/>
      <c r="O956" s="219"/>
      <c r="P956" s="219"/>
      <c r="Q956" s="219"/>
      <c r="R956" s="240"/>
      <c r="S956" s="240"/>
      <c r="T956" s="240"/>
      <c r="U956" s="230"/>
      <c r="V956" s="231"/>
      <c r="W956" s="242"/>
      <c r="X956" s="233"/>
      <c r="Y956" s="219"/>
      <c r="Z956" s="219"/>
    </row>
    <row r="957" spans="1:26" ht="15.75" thickBot="1">
      <c r="A957" s="219"/>
      <c r="B957" s="219"/>
      <c r="C957" s="219"/>
      <c r="D957" s="219"/>
      <c r="E957" s="219"/>
      <c r="F957" s="219"/>
      <c r="G957" s="219"/>
      <c r="H957" s="219"/>
      <c r="I957" s="219"/>
      <c r="J957" s="219"/>
      <c r="K957" s="219"/>
      <c r="L957" s="219"/>
      <c r="M957" s="219"/>
      <c r="N957" s="219"/>
      <c r="O957" s="219"/>
      <c r="P957" s="219"/>
      <c r="Q957" s="219"/>
      <c r="R957" s="240"/>
      <c r="S957" s="240"/>
      <c r="T957" s="240"/>
      <c r="U957" s="230"/>
      <c r="V957" s="231"/>
      <c r="W957" s="242"/>
      <c r="X957" s="233"/>
      <c r="Y957" s="219"/>
      <c r="Z957" s="219"/>
    </row>
    <row r="958" spans="1:26" ht="15.75" thickBot="1">
      <c r="A958" s="219"/>
      <c r="B958" s="219"/>
      <c r="C958" s="219"/>
      <c r="D958" s="219"/>
      <c r="E958" s="219"/>
      <c r="F958" s="219"/>
      <c r="G958" s="219"/>
      <c r="H958" s="219"/>
      <c r="I958" s="219"/>
      <c r="J958" s="219"/>
      <c r="K958" s="219"/>
      <c r="L958" s="219"/>
      <c r="M958" s="219"/>
      <c r="N958" s="219"/>
      <c r="O958" s="219"/>
      <c r="P958" s="219"/>
      <c r="Q958" s="219"/>
      <c r="R958" s="240"/>
      <c r="S958" s="240"/>
      <c r="T958" s="240"/>
      <c r="U958" s="230"/>
      <c r="V958" s="231"/>
      <c r="W958" s="242"/>
      <c r="X958" s="233"/>
      <c r="Y958" s="219"/>
      <c r="Z958" s="219"/>
    </row>
    <row r="959" spans="1:26" ht="15.75" thickBot="1">
      <c r="A959" s="219"/>
      <c r="B959" s="219"/>
      <c r="C959" s="219"/>
      <c r="D959" s="219"/>
      <c r="E959" s="219"/>
      <c r="F959" s="219"/>
      <c r="G959" s="219"/>
      <c r="H959" s="219"/>
      <c r="I959" s="219"/>
      <c r="J959" s="219"/>
      <c r="K959" s="219"/>
      <c r="L959" s="219"/>
      <c r="M959" s="219"/>
      <c r="N959" s="219"/>
      <c r="O959" s="219"/>
      <c r="P959" s="219"/>
      <c r="Q959" s="219"/>
      <c r="R959" s="240"/>
      <c r="S959" s="240"/>
      <c r="T959" s="240"/>
      <c r="U959" s="230"/>
      <c r="V959" s="231"/>
      <c r="W959" s="242"/>
      <c r="X959" s="233"/>
      <c r="Y959" s="219"/>
      <c r="Z959" s="219"/>
    </row>
    <row r="960" spans="1:26" ht="15.75" thickBot="1">
      <c r="A960" s="219"/>
      <c r="B960" s="219"/>
      <c r="C960" s="219"/>
      <c r="D960" s="219"/>
      <c r="E960" s="219"/>
      <c r="F960" s="219"/>
      <c r="G960" s="219"/>
      <c r="H960" s="219"/>
      <c r="I960" s="219"/>
      <c r="J960" s="219"/>
      <c r="K960" s="219"/>
      <c r="L960" s="219"/>
      <c r="M960" s="219"/>
      <c r="N960" s="219"/>
      <c r="O960" s="219"/>
      <c r="P960" s="219"/>
      <c r="Q960" s="219"/>
      <c r="R960" s="240"/>
      <c r="S960" s="240"/>
      <c r="T960" s="240"/>
      <c r="U960" s="230"/>
      <c r="V960" s="231"/>
      <c r="W960" s="242"/>
      <c r="X960" s="233"/>
      <c r="Y960" s="219"/>
      <c r="Z960" s="219"/>
    </row>
    <row r="961" spans="1:26" ht="15.75" thickBot="1">
      <c r="A961" s="219"/>
      <c r="B961" s="219"/>
      <c r="C961" s="219"/>
      <c r="D961" s="219"/>
      <c r="E961" s="219"/>
      <c r="F961" s="219"/>
      <c r="G961" s="219"/>
      <c r="H961" s="219"/>
      <c r="I961" s="219"/>
      <c r="J961" s="219"/>
      <c r="K961" s="219"/>
      <c r="L961" s="219"/>
      <c r="M961" s="219"/>
      <c r="N961" s="219"/>
      <c r="O961" s="219"/>
      <c r="P961" s="219"/>
      <c r="Q961" s="219"/>
      <c r="R961" s="240"/>
      <c r="S961" s="240"/>
      <c r="T961" s="240"/>
      <c r="U961" s="230"/>
      <c r="V961" s="231"/>
      <c r="W961" s="242"/>
      <c r="X961" s="233"/>
      <c r="Y961" s="219"/>
      <c r="Z961" s="219"/>
    </row>
    <row r="962" spans="1:26" ht="15.75" thickBot="1">
      <c r="A962" s="219"/>
      <c r="B962" s="219"/>
      <c r="C962" s="219"/>
      <c r="D962" s="219"/>
      <c r="E962" s="219"/>
      <c r="F962" s="219"/>
      <c r="G962" s="219"/>
      <c r="H962" s="219"/>
      <c r="I962" s="219"/>
      <c r="J962" s="219"/>
      <c r="K962" s="219"/>
      <c r="L962" s="219"/>
      <c r="M962" s="219"/>
      <c r="N962" s="219"/>
      <c r="O962" s="219"/>
      <c r="P962" s="219"/>
      <c r="Q962" s="219"/>
      <c r="R962" s="240"/>
      <c r="S962" s="240"/>
      <c r="T962" s="240"/>
      <c r="U962" s="230"/>
      <c r="V962" s="231"/>
      <c r="W962" s="242"/>
      <c r="X962" s="233"/>
      <c r="Y962" s="219"/>
      <c r="Z962" s="219"/>
    </row>
    <row r="963" spans="1:26" ht="15.75" thickBot="1">
      <c r="A963" s="219"/>
      <c r="B963" s="219"/>
      <c r="C963" s="219"/>
      <c r="D963" s="219"/>
      <c r="E963" s="219"/>
      <c r="F963" s="219"/>
      <c r="G963" s="219"/>
      <c r="H963" s="219"/>
      <c r="I963" s="219"/>
      <c r="J963" s="219"/>
      <c r="K963" s="219"/>
      <c r="L963" s="219"/>
      <c r="M963" s="219"/>
      <c r="N963" s="219"/>
      <c r="O963" s="219"/>
      <c r="P963" s="219"/>
      <c r="Q963" s="219"/>
      <c r="R963" s="240"/>
      <c r="S963" s="240"/>
      <c r="T963" s="240"/>
      <c r="U963" s="230"/>
      <c r="V963" s="231"/>
      <c r="W963" s="242"/>
      <c r="X963" s="233"/>
      <c r="Y963" s="219"/>
      <c r="Z963" s="219"/>
    </row>
    <row r="964" spans="1:26" ht="15.75" thickBot="1">
      <c r="A964" s="219"/>
      <c r="B964" s="219"/>
      <c r="C964" s="219"/>
      <c r="D964" s="219"/>
      <c r="E964" s="219"/>
      <c r="F964" s="219"/>
      <c r="G964" s="219"/>
      <c r="H964" s="219"/>
      <c r="I964" s="219"/>
      <c r="J964" s="219"/>
      <c r="K964" s="219"/>
      <c r="L964" s="219"/>
      <c r="M964" s="219"/>
      <c r="N964" s="219"/>
      <c r="O964" s="219"/>
      <c r="P964" s="219"/>
      <c r="Q964" s="219"/>
      <c r="R964" s="240"/>
      <c r="S964" s="240"/>
      <c r="T964" s="240"/>
      <c r="U964" s="230"/>
      <c r="V964" s="231"/>
      <c r="W964" s="242"/>
      <c r="X964" s="233"/>
      <c r="Y964" s="219"/>
      <c r="Z964" s="219"/>
    </row>
    <row r="965" spans="1:26" ht="15.75" thickBot="1">
      <c r="A965" s="219"/>
      <c r="B965" s="219"/>
      <c r="C965" s="219"/>
      <c r="D965" s="219"/>
      <c r="E965" s="219"/>
      <c r="F965" s="219"/>
      <c r="G965" s="219"/>
      <c r="H965" s="219"/>
      <c r="I965" s="219"/>
      <c r="J965" s="219"/>
      <c r="K965" s="219"/>
      <c r="L965" s="219"/>
      <c r="M965" s="219"/>
      <c r="N965" s="219"/>
      <c r="O965" s="219"/>
      <c r="P965" s="219"/>
      <c r="Q965" s="219"/>
      <c r="R965" s="240"/>
      <c r="S965" s="240"/>
      <c r="T965" s="240"/>
      <c r="U965" s="230"/>
      <c r="V965" s="231"/>
      <c r="W965" s="242"/>
      <c r="X965" s="233"/>
      <c r="Y965" s="219"/>
      <c r="Z965" s="219"/>
    </row>
    <row r="966" spans="1:26" ht="15.75" thickBot="1">
      <c r="A966" s="219"/>
      <c r="B966" s="219"/>
      <c r="C966" s="219"/>
      <c r="D966" s="219"/>
      <c r="E966" s="219"/>
      <c r="F966" s="219"/>
      <c r="G966" s="219"/>
      <c r="H966" s="219"/>
      <c r="I966" s="219"/>
      <c r="J966" s="219"/>
      <c r="K966" s="219"/>
      <c r="L966" s="219"/>
      <c r="M966" s="219"/>
      <c r="N966" s="219"/>
      <c r="O966" s="219"/>
      <c r="P966" s="219"/>
      <c r="Q966" s="219"/>
      <c r="R966" s="240"/>
      <c r="S966" s="240"/>
      <c r="T966" s="240"/>
      <c r="U966" s="230"/>
      <c r="V966" s="231"/>
      <c r="W966" s="242"/>
      <c r="X966" s="233"/>
      <c r="Y966" s="219"/>
      <c r="Z966" s="219"/>
    </row>
    <row r="967" spans="1:26" ht="15.75" thickBot="1">
      <c r="A967" s="219"/>
      <c r="B967" s="219"/>
      <c r="C967" s="219"/>
      <c r="D967" s="219"/>
      <c r="E967" s="219"/>
      <c r="F967" s="219"/>
      <c r="G967" s="219"/>
      <c r="H967" s="219"/>
      <c r="I967" s="219"/>
      <c r="J967" s="219"/>
      <c r="K967" s="219"/>
      <c r="L967" s="219"/>
      <c r="M967" s="219"/>
      <c r="N967" s="219"/>
      <c r="O967" s="219"/>
      <c r="P967" s="219"/>
      <c r="Q967" s="219"/>
      <c r="R967" s="240"/>
      <c r="S967" s="240"/>
      <c r="T967" s="240"/>
      <c r="U967" s="230"/>
      <c r="V967" s="231"/>
      <c r="W967" s="242"/>
      <c r="X967" s="233"/>
      <c r="Y967" s="219"/>
      <c r="Z967" s="219"/>
    </row>
    <row r="968" spans="1:26" ht="15.75" thickBot="1">
      <c r="A968" s="219"/>
      <c r="B968" s="219"/>
      <c r="C968" s="219"/>
      <c r="D968" s="219"/>
      <c r="E968" s="219"/>
      <c r="F968" s="219"/>
      <c r="G968" s="219"/>
      <c r="H968" s="219"/>
      <c r="I968" s="219"/>
      <c r="J968" s="219"/>
      <c r="K968" s="219"/>
      <c r="L968" s="219"/>
      <c r="M968" s="219"/>
      <c r="N968" s="219"/>
      <c r="O968" s="219"/>
      <c r="P968" s="219"/>
      <c r="Q968" s="219"/>
      <c r="R968" s="240"/>
      <c r="S968" s="240"/>
      <c r="T968" s="240"/>
      <c r="U968" s="230"/>
      <c r="V968" s="231"/>
      <c r="W968" s="242"/>
      <c r="X968" s="233"/>
      <c r="Y968" s="219"/>
      <c r="Z968" s="219"/>
    </row>
    <row r="969" spans="1:26" ht="15.75" thickBot="1">
      <c r="A969" s="219"/>
      <c r="B969" s="219"/>
      <c r="C969" s="219"/>
      <c r="D969" s="219"/>
      <c r="E969" s="219"/>
      <c r="F969" s="219"/>
      <c r="G969" s="219"/>
      <c r="H969" s="219"/>
      <c r="I969" s="219"/>
      <c r="J969" s="219"/>
      <c r="K969" s="219"/>
      <c r="L969" s="219"/>
      <c r="M969" s="219"/>
      <c r="N969" s="219"/>
      <c r="O969" s="219"/>
      <c r="P969" s="219"/>
      <c r="Q969" s="219"/>
      <c r="R969" s="240"/>
      <c r="S969" s="240"/>
      <c r="T969" s="240"/>
      <c r="U969" s="230"/>
      <c r="V969" s="231"/>
      <c r="W969" s="242"/>
      <c r="X969" s="233"/>
      <c r="Y969" s="219"/>
      <c r="Z969" s="219"/>
    </row>
    <row r="970" spans="1:26" ht="15.75" thickBot="1">
      <c r="A970" s="219"/>
      <c r="B970" s="219"/>
      <c r="C970" s="219"/>
      <c r="D970" s="219"/>
      <c r="E970" s="219"/>
      <c r="F970" s="219"/>
      <c r="G970" s="219"/>
      <c r="H970" s="219"/>
      <c r="I970" s="219"/>
      <c r="J970" s="219"/>
      <c r="K970" s="219"/>
      <c r="L970" s="219"/>
      <c r="M970" s="219"/>
      <c r="N970" s="219"/>
      <c r="O970" s="219"/>
      <c r="P970" s="219"/>
      <c r="Q970" s="219"/>
      <c r="R970" s="240"/>
      <c r="S970" s="240"/>
      <c r="T970" s="240"/>
      <c r="U970" s="230"/>
      <c r="V970" s="231"/>
      <c r="W970" s="242"/>
      <c r="X970" s="233"/>
      <c r="Y970" s="219"/>
      <c r="Z970" s="219"/>
    </row>
    <row r="971" spans="1:26" ht="15.75" thickBot="1">
      <c r="A971" s="219"/>
      <c r="B971" s="219"/>
      <c r="C971" s="219"/>
      <c r="D971" s="219"/>
      <c r="E971" s="219"/>
      <c r="F971" s="219"/>
      <c r="G971" s="219"/>
      <c r="H971" s="219"/>
      <c r="I971" s="219"/>
      <c r="J971" s="219"/>
      <c r="K971" s="219"/>
      <c r="L971" s="219"/>
      <c r="M971" s="219"/>
      <c r="N971" s="219"/>
      <c r="O971" s="219"/>
      <c r="P971" s="219"/>
      <c r="Q971" s="219"/>
      <c r="R971" s="240"/>
      <c r="S971" s="240"/>
      <c r="T971" s="240"/>
      <c r="U971" s="230"/>
      <c r="V971" s="231"/>
      <c r="W971" s="242"/>
      <c r="X971" s="233"/>
      <c r="Y971" s="219"/>
      <c r="Z971" s="219"/>
    </row>
    <row r="972" spans="1:26" ht="15.75" thickBot="1">
      <c r="A972" s="219"/>
      <c r="B972" s="219"/>
      <c r="C972" s="219"/>
      <c r="D972" s="219"/>
      <c r="E972" s="219"/>
      <c r="F972" s="219"/>
      <c r="G972" s="219"/>
      <c r="H972" s="219"/>
      <c r="I972" s="219"/>
      <c r="J972" s="219"/>
      <c r="K972" s="219"/>
      <c r="L972" s="219"/>
      <c r="M972" s="219"/>
      <c r="N972" s="219"/>
      <c r="O972" s="219"/>
      <c r="P972" s="219"/>
      <c r="Q972" s="219"/>
      <c r="R972" s="240"/>
      <c r="S972" s="240"/>
      <c r="T972" s="240"/>
      <c r="U972" s="230"/>
      <c r="V972" s="231"/>
      <c r="W972" s="242"/>
      <c r="X972" s="233"/>
      <c r="Y972" s="219"/>
      <c r="Z972" s="219"/>
    </row>
    <row r="973" spans="1:26" ht="15.75" thickBot="1">
      <c r="A973" s="219"/>
      <c r="B973" s="219"/>
      <c r="C973" s="219"/>
      <c r="D973" s="219"/>
      <c r="E973" s="219"/>
      <c r="F973" s="219"/>
      <c r="G973" s="219"/>
      <c r="H973" s="219"/>
      <c r="I973" s="219"/>
      <c r="J973" s="219"/>
      <c r="K973" s="219"/>
      <c r="L973" s="219"/>
      <c r="M973" s="219"/>
      <c r="N973" s="219"/>
      <c r="O973" s="219"/>
      <c r="P973" s="219"/>
      <c r="Q973" s="219"/>
      <c r="R973" s="240"/>
      <c r="S973" s="240"/>
      <c r="T973" s="240"/>
      <c r="U973" s="230"/>
      <c r="V973" s="231"/>
      <c r="W973" s="242"/>
      <c r="X973" s="233"/>
      <c r="Y973" s="219"/>
      <c r="Z973" s="219"/>
    </row>
    <row r="974" spans="1:26" ht="15.75" thickBot="1">
      <c r="A974" s="219"/>
      <c r="B974" s="219"/>
      <c r="C974" s="219"/>
      <c r="D974" s="219"/>
      <c r="E974" s="219"/>
      <c r="F974" s="219"/>
      <c r="G974" s="219"/>
      <c r="H974" s="219"/>
      <c r="I974" s="219"/>
      <c r="J974" s="219"/>
      <c r="K974" s="219"/>
      <c r="L974" s="219"/>
      <c r="M974" s="219"/>
      <c r="N974" s="219"/>
      <c r="O974" s="219"/>
      <c r="P974" s="219"/>
      <c r="Q974" s="219"/>
      <c r="R974" s="240"/>
      <c r="S974" s="240"/>
      <c r="T974" s="240"/>
      <c r="U974" s="230"/>
      <c r="V974" s="231"/>
      <c r="W974" s="242"/>
      <c r="X974" s="233"/>
      <c r="Y974" s="219"/>
      <c r="Z974" s="219"/>
    </row>
    <row r="975" spans="1:26" ht="15.75" thickBot="1">
      <c r="A975" s="219"/>
      <c r="B975" s="219"/>
      <c r="C975" s="219"/>
      <c r="D975" s="219"/>
      <c r="E975" s="219"/>
      <c r="F975" s="219"/>
      <c r="G975" s="219"/>
      <c r="H975" s="219"/>
      <c r="I975" s="219"/>
      <c r="J975" s="219"/>
      <c r="K975" s="219"/>
      <c r="L975" s="219"/>
      <c r="M975" s="219"/>
      <c r="N975" s="219"/>
      <c r="O975" s="219"/>
      <c r="P975" s="219"/>
      <c r="Q975" s="219"/>
      <c r="R975" s="240"/>
      <c r="S975" s="240"/>
      <c r="T975" s="240"/>
      <c r="U975" s="230"/>
      <c r="V975" s="231"/>
      <c r="W975" s="242"/>
      <c r="X975" s="233"/>
      <c r="Y975" s="219"/>
      <c r="Z975" s="219"/>
    </row>
    <row r="976" spans="1:26" ht="15.75" thickBot="1">
      <c r="A976" s="219"/>
      <c r="B976" s="219"/>
      <c r="C976" s="219"/>
      <c r="D976" s="219"/>
      <c r="E976" s="219"/>
      <c r="F976" s="219"/>
      <c r="G976" s="219"/>
      <c r="H976" s="219"/>
      <c r="I976" s="219"/>
      <c r="J976" s="219"/>
      <c r="K976" s="219"/>
      <c r="L976" s="219"/>
      <c r="M976" s="219"/>
      <c r="N976" s="219"/>
      <c r="O976" s="219"/>
      <c r="P976" s="219"/>
      <c r="Q976" s="219"/>
      <c r="R976" s="240"/>
      <c r="S976" s="240"/>
      <c r="T976" s="240"/>
      <c r="U976" s="230"/>
      <c r="V976" s="231"/>
      <c r="W976" s="242"/>
      <c r="X976" s="233"/>
      <c r="Y976" s="219"/>
      <c r="Z976" s="219"/>
    </row>
    <row r="977" spans="1:26" ht="15.75" thickBot="1">
      <c r="A977" s="219"/>
      <c r="B977" s="219"/>
      <c r="C977" s="219"/>
      <c r="D977" s="219"/>
      <c r="E977" s="219"/>
      <c r="F977" s="219"/>
      <c r="G977" s="219"/>
      <c r="H977" s="219"/>
      <c r="I977" s="219"/>
      <c r="J977" s="219"/>
      <c r="K977" s="219"/>
      <c r="L977" s="219"/>
      <c r="M977" s="219"/>
      <c r="N977" s="219"/>
      <c r="O977" s="219"/>
      <c r="P977" s="219"/>
      <c r="Q977" s="219"/>
      <c r="R977" s="240"/>
      <c r="S977" s="240"/>
      <c r="T977" s="240"/>
      <c r="U977" s="230"/>
      <c r="V977" s="231"/>
      <c r="W977" s="242"/>
      <c r="X977" s="233"/>
      <c r="Y977" s="219"/>
      <c r="Z977" s="219"/>
    </row>
    <row r="978" spans="1:26" ht="15.75" thickBot="1">
      <c r="A978" s="219"/>
      <c r="B978" s="219"/>
      <c r="C978" s="219"/>
      <c r="D978" s="219"/>
      <c r="E978" s="219"/>
      <c r="F978" s="219"/>
      <c r="G978" s="219"/>
      <c r="H978" s="219"/>
      <c r="I978" s="219"/>
      <c r="J978" s="219"/>
      <c r="K978" s="219"/>
      <c r="L978" s="219"/>
      <c r="M978" s="219"/>
      <c r="N978" s="219"/>
      <c r="O978" s="219"/>
      <c r="P978" s="219"/>
      <c r="Q978" s="219"/>
      <c r="R978" s="240"/>
      <c r="S978" s="240"/>
      <c r="T978" s="240"/>
      <c r="U978" s="230"/>
      <c r="V978" s="231"/>
      <c r="W978" s="242"/>
      <c r="X978" s="233"/>
      <c r="Y978" s="219"/>
      <c r="Z978" s="219"/>
    </row>
    <row r="979" spans="1:26" ht="15.75" thickBot="1">
      <c r="A979" s="219"/>
      <c r="B979" s="219"/>
      <c r="C979" s="219"/>
      <c r="D979" s="219"/>
      <c r="E979" s="219"/>
      <c r="F979" s="219"/>
      <c r="G979" s="219"/>
      <c r="H979" s="219"/>
      <c r="I979" s="219"/>
      <c r="J979" s="219"/>
      <c r="K979" s="219"/>
      <c r="L979" s="219"/>
      <c r="M979" s="219"/>
      <c r="N979" s="219"/>
      <c r="O979" s="219"/>
      <c r="P979" s="219"/>
      <c r="Q979" s="219"/>
      <c r="R979" s="240"/>
      <c r="S979" s="240"/>
      <c r="T979" s="240"/>
      <c r="U979" s="230"/>
      <c r="V979" s="231"/>
      <c r="W979" s="242"/>
      <c r="X979" s="233"/>
      <c r="Y979" s="219"/>
      <c r="Z979" s="219"/>
    </row>
    <row r="980" spans="1:26" ht="15.75" thickBot="1">
      <c r="A980" s="219"/>
      <c r="B980" s="219"/>
      <c r="C980" s="219"/>
      <c r="D980" s="219"/>
      <c r="E980" s="219"/>
      <c r="F980" s="219"/>
      <c r="G980" s="219"/>
      <c r="H980" s="219"/>
      <c r="I980" s="219"/>
      <c r="J980" s="219"/>
      <c r="K980" s="219"/>
      <c r="L980" s="219"/>
      <c r="M980" s="219"/>
      <c r="N980" s="219"/>
      <c r="O980" s="219"/>
      <c r="P980" s="219"/>
      <c r="Q980" s="219"/>
      <c r="R980" s="240"/>
      <c r="S980" s="240"/>
      <c r="T980" s="240"/>
      <c r="U980" s="230"/>
      <c r="V980" s="231"/>
      <c r="W980" s="242"/>
      <c r="X980" s="233"/>
      <c r="Y980" s="219"/>
      <c r="Z980" s="219"/>
    </row>
    <row r="981" spans="1:26" ht="15.75" thickBot="1">
      <c r="A981" s="219"/>
      <c r="B981" s="219"/>
      <c r="C981" s="219"/>
      <c r="D981" s="219"/>
      <c r="E981" s="219"/>
      <c r="F981" s="219"/>
      <c r="G981" s="219"/>
      <c r="H981" s="219"/>
      <c r="I981" s="219"/>
      <c r="J981" s="219"/>
      <c r="K981" s="219"/>
      <c r="L981" s="219"/>
      <c r="M981" s="219"/>
      <c r="N981" s="219"/>
      <c r="O981" s="219"/>
      <c r="P981" s="219"/>
      <c r="Q981" s="219"/>
      <c r="R981" s="240"/>
      <c r="S981" s="240"/>
      <c r="T981" s="240"/>
      <c r="U981" s="230"/>
      <c r="V981" s="231"/>
      <c r="W981" s="242"/>
      <c r="X981" s="233"/>
      <c r="Y981" s="219"/>
      <c r="Z981" s="219"/>
    </row>
    <row r="982" spans="1:26" ht="15.75" thickBot="1">
      <c r="A982" s="219"/>
      <c r="B982" s="219"/>
      <c r="C982" s="219"/>
      <c r="D982" s="219"/>
      <c r="E982" s="219"/>
      <c r="F982" s="219"/>
      <c r="G982" s="219"/>
      <c r="H982" s="219"/>
      <c r="I982" s="219"/>
      <c r="J982" s="219"/>
      <c r="K982" s="219"/>
      <c r="L982" s="219"/>
      <c r="M982" s="219"/>
      <c r="N982" s="219"/>
      <c r="O982" s="219"/>
      <c r="P982" s="219"/>
      <c r="Q982" s="219"/>
      <c r="R982" s="240"/>
      <c r="S982" s="240"/>
      <c r="T982" s="240"/>
      <c r="U982" s="230"/>
      <c r="V982" s="231"/>
      <c r="W982" s="242"/>
      <c r="X982" s="233"/>
      <c r="Y982" s="219"/>
      <c r="Z982" s="219"/>
    </row>
    <row r="983" spans="1:26" ht="15.75" thickBot="1">
      <c r="A983" s="219"/>
      <c r="B983" s="219"/>
      <c r="C983" s="219"/>
      <c r="D983" s="219"/>
      <c r="E983" s="219"/>
      <c r="F983" s="219"/>
      <c r="G983" s="219"/>
      <c r="H983" s="219"/>
      <c r="I983" s="219"/>
      <c r="J983" s="219"/>
      <c r="K983" s="219"/>
      <c r="L983" s="219"/>
      <c r="M983" s="219"/>
      <c r="N983" s="219"/>
      <c r="O983" s="219"/>
      <c r="P983" s="219"/>
      <c r="Q983" s="219"/>
      <c r="R983" s="240"/>
      <c r="S983" s="240"/>
      <c r="T983" s="240"/>
      <c r="U983" s="230"/>
      <c r="V983" s="231"/>
      <c r="W983" s="242"/>
      <c r="X983" s="233"/>
      <c r="Y983" s="219"/>
      <c r="Z983" s="219"/>
    </row>
    <row r="984" spans="1:26" ht="15.75" thickBot="1">
      <c r="A984" s="219"/>
      <c r="B984" s="219"/>
      <c r="C984" s="219"/>
      <c r="D984" s="219"/>
      <c r="E984" s="219"/>
      <c r="F984" s="219"/>
      <c r="G984" s="219"/>
      <c r="H984" s="219"/>
      <c r="I984" s="219"/>
      <c r="J984" s="219"/>
      <c r="K984" s="219"/>
      <c r="L984" s="219"/>
      <c r="M984" s="219"/>
      <c r="N984" s="219"/>
      <c r="O984" s="219"/>
      <c r="P984" s="219"/>
      <c r="Q984" s="219"/>
      <c r="R984" s="240"/>
      <c r="S984" s="240"/>
      <c r="T984" s="240"/>
      <c r="U984" s="230"/>
      <c r="V984" s="231"/>
      <c r="W984" s="242"/>
      <c r="X984" s="233"/>
      <c r="Y984" s="219"/>
      <c r="Z984" s="219"/>
    </row>
    <row r="985" spans="1:26" ht="15.75" thickBot="1">
      <c r="A985" s="219"/>
      <c r="B985" s="219"/>
      <c r="C985" s="219"/>
      <c r="D985" s="219"/>
      <c r="E985" s="219"/>
      <c r="F985" s="219"/>
      <c r="G985" s="219"/>
      <c r="H985" s="219"/>
      <c r="I985" s="219"/>
      <c r="J985" s="219"/>
      <c r="K985" s="219"/>
      <c r="L985" s="219"/>
      <c r="M985" s="219"/>
      <c r="N985" s="219"/>
      <c r="O985" s="219"/>
      <c r="P985" s="219"/>
      <c r="Q985" s="219"/>
      <c r="R985" s="240"/>
      <c r="S985" s="240"/>
      <c r="T985" s="240"/>
      <c r="U985" s="230"/>
      <c r="V985" s="231"/>
      <c r="W985" s="242"/>
      <c r="X985" s="233"/>
      <c r="Y985" s="219"/>
      <c r="Z985" s="219"/>
    </row>
    <row r="986" spans="1:26" ht="15.75" thickBot="1">
      <c r="A986" s="219"/>
      <c r="B986" s="219"/>
      <c r="C986" s="219"/>
      <c r="D986" s="219"/>
      <c r="E986" s="219"/>
      <c r="F986" s="219"/>
      <c r="G986" s="219"/>
      <c r="H986" s="219"/>
      <c r="I986" s="219"/>
      <c r="J986" s="219"/>
      <c r="K986" s="219"/>
      <c r="L986" s="219"/>
      <c r="M986" s="219"/>
      <c r="N986" s="219"/>
      <c r="O986" s="219"/>
      <c r="P986" s="219"/>
      <c r="Q986" s="219"/>
      <c r="R986" s="240"/>
      <c r="S986" s="240"/>
      <c r="T986" s="240"/>
      <c r="U986" s="230"/>
      <c r="V986" s="231"/>
      <c r="W986" s="242"/>
      <c r="X986" s="233"/>
      <c r="Y986" s="219"/>
      <c r="Z986" s="219"/>
    </row>
    <row r="987" spans="1:26" ht="15.75" thickBot="1">
      <c r="A987" s="219"/>
      <c r="B987" s="219"/>
      <c r="C987" s="219"/>
      <c r="D987" s="219"/>
      <c r="E987" s="219"/>
      <c r="F987" s="219"/>
      <c r="G987" s="219"/>
      <c r="H987" s="219"/>
      <c r="I987" s="219"/>
      <c r="J987" s="219"/>
      <c r="K987" s="219"/>
      <c r="L987" s="219"/>
      <c r="M987" s="219"/>
      <c r="N987" s="219"/>
      <c r="O987" s="219"/>
      <c r="P987" s="219"/>
      <c r="Q987" s="219"/>
      <c r="R987" s="240"/>
      <c r="S987" s="240"/>
      <c r="T987" s="240"/>
      <c r="U987" s="230"/>
      <c r="V987" s="231"/>
      <c r="W987" s="242"/>
      <c r="X987" s="233"/>
      <c r="Y987" s="219"/>
      <c r="Z987" s="219"/>
    </row>
    <row r="988" spans="1:26" ht="15.75" thickBot="1">
      <c r="A988" s="219"/>
      <c r="B988" s="219"/>
      <c r="C988" s="219"/>
      <c r="D988" s="219"/>
      <c r="E988" s="219"/>
      <c r="F988" s="219"/>
      <c r="G988" s="219"/>
      <c r="H988" s="219"/>
      <c r="I988" s="219"/>
      <c r="J988" s="219"/>
      <c r="K988" s="219"/>
      <c r="L988" s="219"/>
      <c r="M988" s="219"/>
      <c r="N988" s="219"/>
      <c r="O988" s="219"/>
      <c r="P988" s="219"/>
      <c r="Q988" s="219"/>
      <c r="R988" s="240"/>
      <c r="S988" s="240"/>
      <c r="T988" s="240"/>
      <c r="U988" s="230"/>
      <c r="V988" s="231"/>
      <c r="W988" s="242"/>
      <c r="X988" s="233"/>
      <c r="Y988" s="219"/>
      <c r="Z988" s="219"/>
    </row>
    <row r="989" spans="1:26" ht="15.75" thickBot="1">
      <c r="A989" s="219"/>
      <c r="B989" s="219"/>
      <c r="C989" s="219"/>
      <c r="D989" s="219"/>
      <c r="E989" s="219"/>
      <c r="F989" s="219"/>
      <c r="G989" s="219"/>
      <c r="H989" s="219"/>
      <c r="I989" s="219"/>
      <c r="J989" s="219"/>
      <c r="K989" s="219"/>
      <c r="L989" s="219"/>
      <c r="M989" s="219"/>
      <c r="N989" s="219"/>
      <c r="O989" s="219"/>
      <c r="P989" s="219"/>
      <c r="Q989" s="219"/>
      <c r="R989" s="240"/>
      <c r="S989" s="240"/>
      <c r="T989" s="240"/>
      <c r="U989" s="230"/>
      <c r="V989" s="231"/>
      <c r="W989" s="242"/>
      <c r="X989" s="233"/>
      <c r="Y989" s="219"/>
      <c r="Z989" s="219"/>
    </row>
    <row r="990" spans="1:26" ht="15.75" thickBot="1">
      <c r="A990" s="219"/>
      <c r="B990" s="219"/>
      <c r="C990" s="219"/>
      <c r="D990" s="219"/>
      <c r="E990" s="219"/>
      <c r="F990" s="219"/>
      <c r="G990" s="219"/>
      <c r="H990" s="219"/>
      <c r="I990" s="219"/>
      <c r="J990" s="219"/>
      <c r="K990" s="219"/>
      <c r="L990" s="219"/>
      <c r="M990" s="219"/>
      <c r="N990" s="219"/>
      <c r="O990" s="219"/>
      <c r="P990" s="219"/>
      <c r="Q990" s="219"/>
      <c r="R990" s="240"/>
      <c r="S990" s="240"/>
      <c r="T990" s="240"/>
      <c r="U990" s="230"/>
      <c r="V990" s="231"/>
      <c r="W990" s="242"/>
      <c r="X990" s="233"/>
      <c r="Y990" s="219"/>
      <c r="Z990" s="219"/>
    </row>
    <row r="991" spans="1:26" ht="15.75" thickBot="1">
      <c r="A991" s="219"/>
      <c r="B991" s="219"/>
      <c r="C991" s="219"/>
      <c r="D991" s="219"/>
      <c r="E991" s="219"/>
      <c r="F991" s="219"/>
      <c r="G991" s="219"/>
      <c r="H991" s="219"/>
      <c r="I991" s="219"/>
      <c r="J991" s="219"/>
      <c r="K991" s="219"/>
      <c r="L991" s="219"/>
      <c r="M991" s="219"/>
      <c r="N991" s="219"/>
      <c r="O991" s="219"/>
      <c r="P991" s="219"/>
      <c r="Q991" s="219"/>
      <c r="R991" s="240"/>
      <c r="S991" s="240"/>
      <c r="T991" s="240"/>
      <c r="U991" s="230"/>
      <c r="V991" s="231"/>
      <c r="W991" s="242"/>
      <c r="X991" s="233"/>
      <c r="Y991" s="219"/>
      <c r="Z991" s="219"/>
    </row>
    <row r="992" spans="1:26" ht="15.75" thickBot="1">
      <c r="A992" s="219"/>
      <c r="B992" s="219"/>
      <c r="C992" s="219"/>
      <c r="D992" s="219"/>
      <c r="E992" s="219"/>
      <c r="F992" s="219"/>
      <c r="G992" s="219"/>
      <c r="H992" s="219"/>
      <c r="I992" s="219"/>
      <c r="J992" s="219"/>
      <c r="K992" s="219"/>
      <c r="L992" s="219"/>
      <c r="M992" s="219"/>
      <c r="N992" s="219"/>
      <c r="O992" s="219"/>
      <c r="P992" s="219"/>
      <c r="Q992" s="219"/>
      <c r="R992" s="240"/>
      <c r="S992" s="240"/>
      <c r="T992" s="240"/>
      <c r="U992" s="230"/>
      <c r="V992" s="231"/>
      <c r="W992" s="242"/>
      <c r="X992" s="233"/>
      <c r="Y992" s="219"/>
      <c r="Z992" s="219"/>
    </row>
    <row r="993" spans="1:26" ht="15.75" thickBot="1">
      <c r="A993" s="219"/>
      <c r="B993" s="219"/>
      <c r="C993" s="219"/>
      <c r="D993" s="219"/>
      <c r="E993" s="219"/>
      <c r="F993" s="219"/>
      <c r="G993" s="219"/>
      <c r="H993" s="219"/>
      <c r="I993" s="219"/>
      <c r="J993" s="219"/>
      <c r="K993" s="219"/>
      <c r="L993" s="219"/>
      <c r="M993" s="219"/>
      <c r="N993" s="219"/>
      <c r="O993" s="219"/>
      <c r="P993" s="219"/>
      <c r="Q993" s="219"/>
      <c r="R993" s="240"/>
      <c r="S993" s="240"/>
      <c r="T993" s="240"/>
      <c r="U993" s="230"/>
      <c r="V993" s="231"/>
      <c r="W993" s="242"/>
      <c r="X993" s="233"/>
      <c r="Y993" s="219"/>
      <c r="Z993" s="219"/>
    </row>
    <row r="994" spans="1:26" ht="15.75" thickBot="1">
      <c r="A994" s="219"/>
      <c r="B994" s="219"/>
      <c r="C994" s="219"/>
      <c r="D994" s="219"/>
      <c r="E994" s="219"/>
      <c r="F994" s="219"/>
      <c r="G994" s="219"/>
      <c r="H994" s="219"/>
      <c r="I994" s="219"/>
      <c r="J994" s="219"/>
      <c r="K994" s="219"/>
      <c r="L994" s="219"/>
      <c r="M994" s="219"/>
      <c r="N994" s="219"/>
      <c r="O994" s="219"/>
      <c r="P994" s="219"/>
      <c r="Q994" s="219"/>
      <c r="R994" s="240"/>
      <c r="S994" s="240"/>
      <c r="T994" s="240"/>
      <c r="U994" s="230"/>
      <c r="V994" s="231"/>
      <c r="W994" s="242"/>
      <c r="X994" s="233"/>
      <c r="Y994" s="219"/>
      <c r="Z994" s="219"/>
    </row>
    <row r="995" spans="1:26" ht="15.75" thickBot="1">
      <c r="A995" s="219"/>
      <c r="B995" s="219"/>
      <c r="C995" s="219"/>
      <c r="D995" s="219"/>
      <c r="E995" s="219"/>
      <c r="F995" s="219"/>
      <c r="G995" s="219"/>
      <c r="H995" s="219"/>
      <c r="I995" s="219"/>
      <c r="J995" s="219"/>
      <c r="K995" s="219"/>
      <c r="L995" s="219"/>
      <c r="M995" s="219"/>
      <c r="N995" s="219"/>
      <c r="O995" s="219"/>
      <c r="P995" s="219"/>
      <c r="Q995" s="219"/>
      <c r="R995" s="240"/>
      <c r="S995" s="240"/>
      <c r="T995" s="240"/>
      <c r="U995" s="230"/>
      <c r="V995" s="231"/>
      <c r="W995" s="242"/>
      <c r="X995" s="233"/>
      <c r="Y995" s="219"/>
      <c r="Z995" s="219"/>
    </row>
    <row r="996" spans="1:26" ht="15.75" thickBot="1">
      <c r="A996" s="219"/>
      <c r="B996" s="219"/>
      <c r="C996" s="219"/>
      <c r="D996" s="219"/>
      <c r="E996" s="219"/>
      <c r="F996" s="219"/>
      <c r="G996" s="219"/>
      <c r="H996" s="219"/>
      <c r="I996" s="219"/>
      <c r="J996" s="219"/>
      <c r="K996" s="219"/>
      <c r="L996" s="219"/>
      <c r="M996" s="219"/>
      <c r="N996" s="219"/>
      <c r="O996" s="219"/>
      <c r="P996" s="219"/>
      <c r="Q996" s="219"/>
      <c r="R996" s="240"/>
      <c r="S996" s="240"/>
      <c r="T996" s="240"/>
      <c r="U996" s="230"/>
      <c r="V996" s="231"/>
      <c r="W996" s="242"/>
      <c r="X996" s="233"/>
      <c r="Y996" s="219"/>
      <c r="Z996" s="219"/>
    </row>
    <row r="997" spans="1:26" ht="15.75" thickBot="1">
      <c r="A997" s="219"/>
      <c r="B997" s="219"/>
      <c r="C997" s="219"/>
      <c r="D997" s="219"/>
      <c r="E997" s="219"/>
      <c r="F997" s="219"/>
      <c r="G997" s="219"/>
      <c r="H997" s="219"/>
      <c r="I997" s="219"/>
      <c r="J997" s="219"/>
      <c r="K997" s="219"/>
      <c r="L997" s="219"/>
      <c r="M997" s="219"/>
      <c r="N997" s="219"/>
      <c r="O997" s="219"/>
      <c r="P997" s="219"/>
      <c r="Q997" s="219"/>
      <c r="R997" s="240"/>
      <c r="S997" s="240"/>
      <c r="T997" s="240"/>
      <c r="U997" s="230"/>
      <c r="V997" s="231"/>
      <c r="W997" s="242"/>
      <c r="X997" s="233"/>
      <c r="Y997" s="219"/>
      <c r="Z997" s="219"/>
    </row>
    <row r="998" spans="1:26" ht="15.75" thickBot="1">
      <c r="A998" s="219"/>
      <c r="B998" s="219"/>
      <c r="C998" s="219"/>
      <c r="D998" s="219"/>
      <c r="E998" s="219"/>
      <c r="F998" s="219"/>
      <c r="G998" s="219"/>
      <c r="H998" s="219"/>
      <c r="I998" s="219"/>
      <c r="J998" s="219"/>
      <c r="K998" s="219"/>
      <c r="L998" s="219"/>
      <c r="M998" s="219"/>
      <c r="N998" s="219"/>
      <c r="O998" s="219"/>
      <c r="P998" s="219"/>
      <c r="Q998" s="219"/>
      <c r="R998" s="240"/>
      <c r="S998" s="240"/>
      <c r="T998" s="240"/>
      <c r="U998" s="230"/>
      <c r="V998" s="231"/>
      <c r="W998" s="242"/>
      <c r="X998" s="233"/>
      <c r="Y998" s="219"/>
      <c r="Z998" s="219"/>
    </row>
    <row r="999" spans="1:26" ht="15.75" thickBot="1">
      <c r="A999" s="219"/>
      <c r="B999" s="219"/>
      <c r="C999" s="219"/>
      <c r="D999" s="219"/>
      <c r="E999" s="219"/>
      <c r="F999" s="219"/>
      <c r="G999" s="219"/>
      <c r="H999" s="219"/>
      <c r="I999" s="219"/>
      <c r="J999" s="219"/>
      <c r="K999" s="219"/>
      <c r="L999" s="219"/>
      <c r="M999" s="219"/>
      <c r="N999" s="219"/>
      <c r="O999" s="219"/>
      <c r="P999" s="219"/>
      <c r="Q999" s="219"/>
      <c r="R999" s="240"/>
      <c r="S999" s="240"/>
      <c r="T999" s="240"/>
      <c r="U999" s="230"/>
      <c r="V999" s="231"/>
      <c r="W999" s="242"/>
      <c r="X999" s="233"/>
      <c r="Y999" s="219"/>
      <c r="Z999" s="219"/>
    </row>
    <row r="1000" spans="1:26" ht="15.75" thickBot="1">
      <c r="A1000" s="219"/>
      <c r="B1000" s="219"/>
      <c r="C1000" s="219"/>
      <c r="D1000" s="219"/>
      <c r="E1000" s="219"/>
      <c r="F1000" s="219"/>
      <c r="G1000" s="219"/>
      <c r="H1000" s="219"/>
      <c r="I1000" s="219"/>
      <c r="J1000" s="219"/>
      <c r="K1000" s="219"/>
      <c r="L1000" s="219"/>
      <c r="M1000" s="219"/>
      <c r="N1000" s="219"/>
      <c r="O1000" s="219"/>
      <c r="P1000" s="219"/>
      <c r="Q1000" s="219"/>
      <c r="R1000" s="240"/>
      <c r="S1000" s="240"/>
      <c r="T1000" s="240"/>
      <c r="U1000" s="230"/>
      <c r="V1000" s="231"/>
      <c r="W1000" s="242"/>
      <c r="X1000" s="233"/>
      <c r="Y1000" s="219"/>
      <c r="Z1000" s="219"/>
    </row>
    <row r="1001" spans="1:26" ht="15.75" thickBot="1">
      <c r="A1001" s="219"/>
      <c r="B1001" s="219"/>
      <c r="C1001" s="219"/>
      <c r="D1001" s="219"/>
      <c r="E1001" s="219"/>
      <c r="F1001" s="219"/>
      <c r="G1001" s="219"/>
      <c r="H1001" s="219"/>
      <c r="I1001" s="219"/>
      <c r="J1001" s="219"/>
      <c r="K1001" s="219"/>
      <c r="L1001" s="219"/>
      <c r="M1001" s="219"/>
      <c r="N1001" s="219"/>
      <c r="O1001" s="219"/>
      <c r="P1001" s="219"/>
      <c r="Q1001" s="219"/>
      <c r="R1001" s="240"/>
      <c r="S1001" s="240"/>
      <c r="T1001" s="240"/>
      <c r="U1001" s="230"/>
      <c r="V1001" s="231"/>
      <c r="W1001" s="242"/>
      <c r="X1001" s="233"/>
      <c r="Y1001" s="219"/>
      <c r="Z1001" s="219"/>
    </row>
    <row r="1002" spans="1:26" ht="15.75" thickBot="1">
      <c r="A1002" s="219"/>
      <c r="B1002" s="219"/>
      <c r="C1002" s="219"/>
      <c r="D1002" s="219"/>
      <c r="E1002" s="219"/>
      <c r="F1002" s="219"/>
      <c r="G1002" s="219"/>
      <c r="H1002" s="219"/>
      <c r="I1002" s="219"/>
      <c r="J1002" s="219"/>
      <c r="K1002" s="219"/>
      <c r="L1002" s="219"/>
      <c r="M1002" s="219"/>
      <c r="N1002" s="219"/>
      <c r="O1002" s="219"/>
      <c r="P1002" s="219"/>
      <c r="Q1002" s="219"/>
      <c r="R1002" s="240"/>
      <c r="S1002" s="240"/>
      <c r="T1002" s="240"/>
      <c r="U1002" s="230"/>
      <c r="V1002" s="231"/>
      <c r="W1002" s="242"/>
      <c r="X1002" s="233"/>
      <c r="Y1002" s="219"/>
      <c r="Z1002" s="219"/>
    </row>
    <row r="1003" spans="1:26" ht="15.75" thickBot="1">
      <c r="A1003" s="219"/>
      <c r="B1003" s="219"/>
      <c r="C1003" s="219"/>
      <c r="D1003" s="219"/>
      <c r="E1003" s="219"/>
      <c r="F1003" s="219"/>
      <c r="G1003" s="219"/>
      <c r="H1003" s="219"/>
      <c r="I1003" s="219"/>
      <c r="J1003" s="219"/>
      <c r="K1003" s="219"/>
      <c r="L1003" s="219"/>
      <c r="M1003" s="219"/>
      <c r="N1003" s="219"/>
      <c r="O1003" s="219"/>
      <c r="P1003" s="219"/>
      <c r="Q1003" s="219"/>
      <c r="R1003" s="240"/>
      <c r="S1003" s="240"/>
      <c r="T1003" s="240"/>
      <c r="U1003" s="230"/>
      <c r="V1003" s="231"/>
      <c r="W1003" s="242"/>
      <c r="X1003" s="233"/>
      <c r="Y1003" s="219"/>
      <c r="Z1003" s="219"/>
    </row>
    <row r="1004" spans="1:26" ht="15.75" thickBot="1">
      <c r="A1004" s="219"/>
      <c r="B1004" s="219"/>
      <c r="C1004" s="219"/>
      <c r="D1004" s="219"/>
      <c r="E1004" s="219"/>
      <c r="F1004" s="219"/>
      <c r="G1004" s="219"/>
      <c r="H1004" s="219"/>
      <c r="I1004" s="219"/>
      <c r="J1004" s="219"/>
      <c r="K1004" s="219"/>
      <c r="L1004" s="219"/>
      <c r="M1004" s="219"/>
      <c r="N1004" s="219"/>
      <c r="O1004" s="219"/>
      <c r="P1004" s="219"/>
      <c r="Q1004" s="219"/>
      <c r="R1004" s="240"/>
      <c r="S1004" s="240"/>
      <c r="T1004" s="240"/>
      <c r="U1004" s="230"/>
      <c r="V1004" s="231"/>
      <c r="W1004" s="242"/>
      <c r="X1004" s="233"/>
      <c r="Y1004" s="219"/>
      <c r="Z1004" s="219"/>
    </row>
    <row r="1005" spans="1:26" ht="15.75" thickBot="1">
      <c r="A1005" s="219"/>
      <c r="B1005" s="219"/>
      <c r="C1005" s="219"/>
      <c r="D1005" s="219"/>
      <c r="E1005" s="219"/>
      <c r="F1005" s="219"/>
      <c r="G1005" s="219"/>
      <c r="H1005" s="219"/>
      <c r="I1005" s="219"/>
      <c r="J1005" s="219"/>
      <c r="K1005" s="219"/>
      <c r="L1005" s="219"/>
      <c r="M1005" s="219"/>
      <c r="N1005" s="219"/>
      <c r="O1005" s="219"/>
      <c r="P1005" s="219"/>
      <c r="Q1005" s="219"/>
      <c r="R1005" s="240"/>
      <c r="S1005" s="240"/>
      <c r="T1005" s="240"/>
      <c r="U1005" s="230"/>
      <c r="V1005" s="231"/>
      <c r="W1005" s="242"/>
      <c r="X1005" s="233"/>
      <c r="Y1005" s="219"/>
      <c r="Z1005" s="219"/>
    </row>
    <row r="1006" spans="1:26" ht="15.75" thickBot="1">
      <c r="A1006" s="219"/>
      <c r="B1006" s="219"/>
      <c r="C1006" s="219"/>
      <c r="D1006" s="219"/>
      <c r="E1006" s="219"/>
      <c r="F1006" s="219"/>
      <c r="G1006" s="219"/>
      <c r="H1006" s="219"/>
      <c r="I1006" s="219"/>
      <c r="J1006" s="219"/>
      <c r="K1006" s="219"/>
      <c r="L1006" s="219"/>
      <c r="M1006" s="219"/>
      <c r="N1006" s="219"/>
      <c r="O1006" s="219"/>
      <c r="P1006" s="219"/>
      <c r="Q1006" s="219"/>
      <c r="R1006" s="240"/>
      <c r="S1006" s="240"/>
      <c r="T1006" s="240"/>
      <c r="U1006" s="230"/>
      <c r="V1006" s="231"/>
      <c r="W1006" s="242"/>
      <c r="X1006" s="233"/>
      <c r="Y1006" s="219"/>
      <c r="Z1006" s="219"/>
    </row>
    <row r="1007" spans="1:26" ht="15.75" thickBot="1">
      <c r="A1007" s="219"/>
      <c r="B1007" s="219"/>
      <c r="C1007" s="219"/>
      <c r="D1007" s="219"/>
      <c r="E1007" s="219"/>
      <c r="F1007" s="219"/>
      <c r="G1007" s="219"/>
      <c r="H1007" s="219"/>
      <c r="I1007" s="219"/>
      <c r="J1007" s="219"/>
      <c r="K1007" s="219"/>
      <c r="L1007" s="219"/>
      <c r="M1007" s="219"/>
      <c r="N1007" s="219"/>
      <c r="O1007" s="219"/>
      <c r="P1007" s="219"/>
      <c r="Q1007" s="219"/>
      <c r="R1007" s="240"/>
      <c r="S1007" s="240"/>
      <c r="T1007" s="240"/>
      <c r="U1007" s="230"/>
      <c r="V1007" s="231"/>
      <c r="W1007" s="242"/>
      <c r="X1007" s="233"/>
      <c r="Y1007" s="219"/>
      <c r="Z1007" s="219"/>
    </row>
    <row r="1008" spans="1:26" ht="15.75" thickBot="1">
      <c r="A1008" s="219"/>
      <c r="B1008" s="219"/>
      <c r="C1008" s="219"/>
      <c r="D1008" s="219"/>
      <c r="E1008" s="219"/>
      <c r="F1008" s="219"/>
      <c r="G1008" s="219"/>
      <c r="H1008" s="219"/>
      <c r="I1008" s="219"/>
      <c r="J1008" s="219"/>
      <c r="K1008" s="219"/>
      <c r="L1008" s="219"/>
      <c r="M1008" s="219"/>
      <c r="N1008" s="219"/>
      <c r="O1008" s="219"/>
      <c r="P1008" s="219"/>
      <c r="Q1008" s="219"/>
      <c r="R1008" s="240"/>
      <c r="S1008" s="240"/>
      <c r="T1008" s="240"/>
      <c r="U1008" s="230"/>
      <c r="V1008" s="231"/>
      <c r="W1008" s="242"/>
      <c r="X1008" s="233"/>
      <c r="Y1008" s="219"/>
      <c r="Z1008" s="219"/>
    </row>
    <row r="1009" spans="1:26" ht="15.75" thickBot="1">
      <c r="A1009" s="219"/>
      <c r="B1009" s="219"/>
      <c r="C1009" s="219"/>
      <c r="D1009" s="219"/>
      <c r="E1009" s="219"/>
      <c r="F1009" s="219"/>
      <c r="G1009" s="219"/>
      <c r="H1009" s="219"/>
      <c r="I1009" s="219"/>
      <c r="J1009" s="219"/>
      <c r="K1009" s="219"/>
      <c r="L1009" s="219"/>
      <c r="M1009" s="219"/>
      <c r="N1009" s="219"/>
      <c r="O1009" s="219"/>
      <c r="P1009" s="219"/>
      <c r="Q1009" s="219"/>
      <c r="R1009" s="240"/>
      <c r="S1009" s="240"/>
      <c r="T1009" s="240"/>
      <c r="U1009" s="230"/>
      <c r="V1009" s="231"/>
      <c r="W1009" s="242"/>
      <c r="X1009" s="233"/>
      <c r="Y1009" s="219"/>
      <c r="Z1009" s="219"/>
    </row>
    <row r="1010" spans="1:26" ht="15.75" thickBot="1">
      <c r="A1010" s="219"/>
      <c r="B1010" s="219"/>
      <c r="C1010" s="219"/>
      <c r="D1010" s="219"/>
      <c r="E1010" s="219"/>
      <c r="F1010" s="219"/>
      <c r="G1010" s="219"/>
      <c r="H1010" s="219"/>
      <c r="I1010" s="219"/>
      <c r="J1010" s="219"/>
      <c r="K1010" s="219"/>
      <c r="L1010" s="219"/>
      <c r="M1010" s="219"/>
      <c r="N1010" s="219"/>
      <c r="O1010" s="219"/>
      <c r="P1010" s="219"/>
      <c r="Q1010" s="219"/>
      <c r="R1010" s="240"/>
      <c r="S1010" s="240"/>
      <c r="T1010" s="240"/>
      <c r="U1010" s="230"/>
      <c r="V1010" s="231"/>
      <c r="W1010" s="242"/>
      <c r="X1010" s="233"/>
      <c r="Y1010" s="219"/>
      <c r="Z1010" s="219"/>
    </row>
    <row r="1011" spans="1:26" ht="15.75" thickBot="1">
      <c r="A1011" s="219"/>
      <c r="B1011" s="219"/>
      <c r="C1011" s="219"/>
      <c r="D1011" s="219"/>
      <c r="E1011" s="219"/>
      <c r="F1011" s="219"/>
      <c r="G1011" s="219"/>
      <c r="H1011" s="219"/>
      <c r="I1011" s="219"/>
      <c r="J1011" s="219"/>
      <c r="K1011" s="219"/>
      <c r="L1011" s="219"/>
      <c r="M1011" s="219"/>
      <c r="N1011" s="219"/>
      <c r="O1011" s="219"/>
      <c r="P1011" s="219"/>
      <c r="Q1011" s="219"/>
      <c r="R1011" s="240"/>
      <c r="S1011" s="240"/>
      <c r="T1011" s="240"/>
      <c r="U1011" s="230"/>
      <c r="V1011" s="231"/>
      <c r="W1011" s="242"/>
      <c r="X1011" s="233"/>
      <c r="Y1011" s="219"/>
      <c r="Z1011" s="219"/>
    </row>
    <row r="1012" spans="1:26" ht="15.75" thickBot="1">
      <c r="A1012" s="219"/>
      <c r="B1012" s="219"/>
      <c r="C1012" s="219"/>
      <c r="D1012" s="219"/>
      <c r="E1012" s="219"/>
      <c r="F1012" s="219"/>
      <c r="G1012" s="219"/>
      <c r="H1012" s="219"/>
      <c r="I1012" s="219"/>
      <c r="J1012" s="219"/>
      <c r="K1012" s="219"/>
      <c r="L1012" s="219"/>
      <c r="M1012" s="219"/>
      <c r="N1012" s="219"/>
      <c r="O1012" s="219"/>
      <c r="P1012" s="219"/>
      <c r="Q1012" s="219"/>
      <c r="R1012" s="240"/>
      <c r="S1012" s="240"/>
      <c r="T1012" s="240"/>
      <c r="U1012" s="230"/>
      <c r="V1012" s="231"/>
      <c r="W1012" s="242"/>
      <c r="X1012" s="233"/>
      <c r="Y1012" s="219"/>
      <c r="Z1012" s="219"/>
    </row>
    <row r="1013" spans="1:26" ht="15.75" thickBot="1">
      <c r="A1013" s="219"/>
      <c r="B1013" s="219"/>
      <c r="C1013" s="219"/>
      <c r="D1013" s="219"/>
      <c r="E1013" s="219"/>
      <c r="F1013" s="219"/>
      <c r="G1013" s="219"/>
      <c r="H1013" s="219"/>
      <c r="I1013" s="219"/>
      <c r="J1013" s="219"/>
      <c r="K1013" s="219"/>
      <c r="L1013" s="219"/>
      <c r="M1013" s="219"/>
      <c r="N1013" s="219"/>
      <c r="O1013" s="219"/>
      <c r="P1013" s="219"/>
      <c r="Q1013" s="219"/>
      <c r="R1013" s="240"/>
      <c r="S1013" s="240"/>
      <c r="T1013" s="240"/>
      <c r="U1013" s="230"/>
      <c r="V1013" s="231"/>
      <c r="W1013" s="242"/>
      <c r="X1013" s="233"/>
      <c r="Y1013" s="219"/>
      <c r="Z1013" s="219"/>
    </row>
    <row r="1014" spans="1:26" ht="15.75" thickBot="1">
      <c r="A1014" s="219"/>
      <c r="B1014" s="219"/>
      <c r="C1014" s="219"/>
      <c r="D1014" s="219"/>
      <c r="E1014" s="219"/>
      <c r="F1014" s="219"/>
      <c r="G1014" s="219"/>
      <c r="H1014" s="219"/>
      <c r="I1014" s="219"/>
      <c r="J1014" s="219"/>
      <c r="K1014" s="219"/>
      <c r="L1014" s="219"/>
      <c r="M1014" s="219"/>
      <c r="N1014" s="219"/>
      <c r="O1014" s="219"/>
      <c r="P1014" s="219"/>
      <c r="Q1014" s="219"/>
      <c r="R1014" s="240"/>
      <c r="S1014" s="240"/>
      <c r="T1014" s="240"/>
      <c r="U1014" s="230"/>
      <c r="V1014" s="231"/>
      <c r="W1014" s="242"/>
      <c r="X1014" s="233"/>
      <c r="Y1014" s="219"/>
      <c r="Z1014" s="219"/>
    </row>
    <row r="1015" spans="1:26" ht="15.75" thickBot="1">
      <c r="A1015" s="219"/>
      <c r="B1015" s="219"/>
      <c r="C1015" s="219"/>
      <c r="D1015" s="219"/>
      <c r="E1015" s="219"/>
      <c r="F1015" s="219"/>
      <c r="G1015" s="219"/>
      <c r="H1015" s="219"/>
      <c r="I1015" s="219"/>
      <c r="J1015" s="219"/>
      <c r="K1015" s="219"/>
      <c r="L1015" s="219"/>
      <c r="M1015" s="219"/>
      <c r="N1015" s="219"/>
      <c r="O1015" s="219"/>
      <c r="P1015" s="219"/>
      <c r="Q1015" s="219"/>
      <c r="R1015" s="240"/>
      <c r="S1015" s="240"/>
      <c r="T1015" s="240"/>
      <c r="U1015" s="230"/>
      <c r="V1015" s="231"/>
      <c r="W1015" s="242"/>
      <c r="X1015" s="233"/>
      <c r="Y1015" s="219"/>
      <c r="Z1015" s="219"/>
    </row>
    <row r="1016" spans="1:26" ht="15.75" thickBot="1">
      <c r="A1016" s="219"/>
      <c r="B1016" s="219"/>
      <c r="C1016" s="219"/>
      <c r="D1016" s="219"/>
      <c r="E1016" s="219"/>
      <c r="F1016" s="219"/>
      <c r="G1016" s="219"/>
      <c r="H1016" s="219"/>
      <c r="I1016" s="219"/>
      <c r="J1016" s="219"/>
      <c r="K1016" s="219"/>
      <c r="L1016" s="219"/>
      <c r="M1016" s="219"/>
      <c r="N1016" s="219"/>
      <c r="O1016" s="219"/>
      <c r="P1016" s="219"/>
      <c r="Q1016" s="219"/>
      <c r="R1016" s="240"/>
      <c r="S1016" s="240"/>
      <c r="T1016" s="240"/>
      <c r="U1016" s="230"/>
      <c r="V1016" s="231"/>
      <c r="W1016" s="242"/>
      <c r="X1016" s="233"/>
      <c r="Y1016" s="219"/>
      <c r="Z1016" s="219"/>
    </row>
    <row r="1017" spans="1:26" ht="15.75" thickBot="1">
      <c r="A1017" s="219"/>
      <c r="B1017" s="219"/>
      <c r="C1017" s="219"/>
      <c r="D1017" s="219"/>
      <c r="E1017" s="219"/>
      <c r="F1017" s="219"/>
      <c r="G1017" s="219"/>
      <c r="H1017" s="219"/>
      <c r="I1017" s="219"/>
      <c r="J1017" s="219"/>
      <c r="K1017" s="219"/>
      <c r="L1017" s="219"/>
      <c r="M1017" s="219"/>
      <c r="N1017" s="219"/>
      <c r="O1017" s="219"/>
      <c r="P1017" s="219"/>
      <c r="Q1017" s="219"/>
      <c r="R1017" s="240"/>
      <c r="S1017" s="240"/>
      <c r="T1017" s="240"/>
      <c r="U1017" s="230"/>
      <c r="V1017" s="231"/>
      <c r="W1017" s="242"/>
      <c r="X1017" s="233"/>
      <c r="Y1017" s="219"/>
      <c r="Z1017" s="219"/>
    </row>
    <row r="1018" spans="1:26" ht="15.75" thickBot="1">
      <c r="A1018" s="219"/>
      <c r="B1018" s="219"/>
      <c r="C1018" s="219"/>
      <c r="D1018" s="219"/>
      <c r="E1018" s="219"/>
      <c r="F1018" s="219"/>
      <c r="G1018" s="219"/>
      <c r="H1018" s="219"/>
      <c r="I1018" s="219"/>
      <c r="J1018" s="219"/>
      <c r="K1018" s="219"/>
      <c r="L1018" s="219"/>
      <c r="M1018" s="219"/>
      <c r="N1018" s="219"/>
      <c r="O1018" s="219"/>
      <c r="P1018" s="219"/>
      <c r="Q1018" s="219"/>
      <c r="R1018" s="240"/>
      <c r="S1018" s="240"/>
      <c r="T1018" s="240"/>
      <c r="U1018" s="230"/>
      <c r="V1018" s="231"/>
      <c r="W1018" s="242"/>
      <c r="X1018" s="233"/>
      <c r="Y1018" s="219"/>
      <c r="Z1018" s="219"/>
    </row>
    <row r="1019" spans="1:26" ht="15.75" thickBot="1">
      <c r="A1019" s="219"/>
      <c r="B1019" s="219"/>
      <c r="C1019" s="219"/>
      <c r="D1019" s="219"/>
      <c r="E1019" s="219"/>
      <c r="F1019" s="219"/>
      <c r="G1019" s="219"/>
      <c r="H1019" s="219"/>
      <c r="I1019" s="219"/>
      <c r="J1019" s="219"/>
      <c r="K1019" s="219"/>
      <c r="L1019" s="219"/>
      <c r="M1019" s="219"/>
      <c r="N1019" s="219"/>
      <c r="O1019" s="219"/>
      <c r="P1019" s="219"/>
      <c r="Q1019" s="219"/>
      <c r="R1019" s="240"/>
      <c r="S1019" s="240"/>
      <c r="T1019" s="240"/>
      <c r="U1019" s="230"/>
      <c r="V1019" s="231"/>
      <c r="W1019" s="242"/>
      <c r="X1019" s="233"/>
      <c r="Y1019" s="219"/>
      <c r="Z1019" s="219"/>
    </row>
    <row r="1020" spans="1:26" ht="15.75" thickBot="1">
      <c r="A1020" s="219"/>
      <c r="B1020" s="219"/>
      <c r="C1020" s="219"/>
      <c r="D1020" s="219"/>
      <c r="E1020" s="219"/>
      <c r="F1020" s="219"/>
      <c r="G1020" s="219"/>
      <c r="H1020" s="219"/>
      <c r="I1020" s="219"/>
      <c r="J1020" s="219"/>
      <c r="K1020" s="219"/>
      <c r="L1020" s="219"/>
      <c r="M1020" s="219"/>
      <c r="N1020" s="219"/>
      <c r="O1020" s="219"/>
      <c r="P1020" s="219"/>
      <c r="Q1020" s="219"/>
      <c r="R1020" s="240"/>
      <c r="S1020" s="240"/>
      <c r="T1020" s="240"/>
      <c r="U1020" s="230"/>
      <c r="V1020" s="231"/>
      <c r="W1020" s="242"/>
      <c r="X1020" s="233"/>
      <c r="Y1020" s="219"/>
      <c r="Z1020" s="219"/>
    </row>
    <row r="1021" spans="1:26" ht="15.75" thickBot="1">
      <c r="A1021" s="219"/>
      <c r="B1021" s="219"/>
      <c r="C1021" s="219"/>
      <c r="D1021" s="219"/>
      <c r="E1021" s="219"/>
      <c r="F1021" s="219"/>
      <c r="G1021" s="219"/>
      <c r="H1021" s="219"/>
      <c r="I1021" s="219"/>
      <c r="J1021" s="219"/>
      <c r="K1021" s="219"/>
      <c r="L1021" s="219"/>
      <c r="M1021" s="219"/>
      <c r="N1021" s="219"/>
      <c r="O1021" s="219"/>
      <c r="P1021" s="219"/>
      <c r="Q1021" s="219"/>
      <c r="R1021" s="240"/>
      <c r="S1021" s="240"/>
      <c r="T1021" s="240"/>
      <c r="U1021" s="230"/>
      <c r="V1021" s="231"/>
      <c r="W1021" s="242"/>
      <c r="X1021" s="233"/>
      <c r="Y1021" s="219"/>
      <c r="Z1021" s="219"/>
    </row>
    <row r="1022" spans="1:26" ht="15.75" thickBot="1">
      <c r="A1022" s="219"/>
      <c r="B1022" s="219"/>
      <c r="C1022" s="219"/>
      <c r="D1022" s="219"/>
      <c r="E1022" s="219"/>
      <c r="F1022" s="219"/>
      <c r="G1022" s="219"/>
      <c r="H1022" s="219"/>
      <c r="I1022" s="219"/>
      <c r="J1022" s="219"/>
      <c r="K1022" s="219"/>
      <c r="L1022" s="219"/>
      <c r="M1022" s="219"/>
      <c r="N1022" s="219"/>
      <c r="O1022" s="219"/>
      <c r="P1022" s="219"/>
      <c r="Q1022" s="219"/>
      <c r="R1022" s="240"/>
      <c r="S1022" s="240"/>
      <c r="T1022" s="240"/>
      <c r="U1022" s="230"/>
      <c r="V1022" s="231"/>
      <c r="W1022" s="242"/>
      <c r="X1022" s="233"/>
      <c r="Y1022" s="219"/>
      <c r="Z1022" s="219"/>
    </row>
    <row r="1023" spans="1:26" ht="15.75" thickBot="1">
      <c r="A1023" s="219"/>
      <c r="B1023" s="219"/>
      <c r="C1023" s="219"/>
      <c r="D1023" s="219"/>
      <c r="E1023" s="219"/>
      <c r="F1023" s="219"/>
      <c r="G1023" s="219"/>
      <c r="H1023" s="219"/>
      <c r="I1023" s="219"/>
      <c r="J1023" s="219"/>
      <c r="K1023" s="219"/>
      <c r="L1023" s="219"/>
      <c r="M1023" s="219"/>
      <c r="N1023" s="219"/>
      <c r="O1023" s="219"/>
      <c r="P1023" s="219"/>
      <c r="Q1023" s="219"/>
      <c r="R1023" s="240"/>
      <c r="S1023" s="240"/>
      <c r="T1023" s="240"/>
      <c r="U1023" s="230"/>
      <c r="V1023" s="231"/>
      <c r="W1023" s="242"/>
      <c r="X1023" s="233"/>
      <c r="Y1023" s="219"/>
      <c r="Z1023" s="219"/>
    </row>
    <row r="1024" spans="1:26" ht="15.75" thickBot="1">
      <c r="A1024" s="219"/>
      <c r="B1024" s="219"/>
      <c r="C1024" s="219"/>
      <c r="D1024" s="219"/>
      <c r="E1024" s="219"/>
      <c r="F1024" s="219"/>
      <c r="G1024" s="219"/>
      <c r="H1024" s="219"/>
      <c r="I1024" s="219"/>
      <c r="J1024" s="219"/>
      <c r="K1024" s="219"/>
      <c r="L1024" s="219"/>
      <c r="M1024" s="219"/>
      <c r="N1024" s="219"/>
      <c r="O1024" s="219"/>
      <c r="P1024" s="219"/>
      <c r="Q1024" s="219"/>
      <c r="R1024" s="240"/>
      <c r="S1024" s="240"/>
      <c r="T1024" s="240"/>
      <c r="U1024" s="230"/>
      <c r="V1024" s="231"/>
      <c r="W1024" s="242"/>
      <c r="X1024" s="233"/>
      <c r="Y1024" s="219"/>
      <c r="Z1024" s="219"/>
    </row>
    <row r="1025" spans="1:26" ht="15.75" thickBot="1">
      <c r="A1025" s="219"/>
      <c r="B1025" s="219"/>
      <c r="C1025" s="219"/>
      <c r="D1025" s="219"/>
      <c r="E1025" s="219"/>
      <c r="F1025" s="219"/>
      <c r="G1025" s="219"/>
      <c r="H1025" s="219"/>
      <c r="I1025" s="219"/>
      <c r="J1025" s="219"/>
      <c r="K1025" s="219"/>
      <c r="L1025" s="219"/>
      <c r="M1025" s="219"/>
      <c r="N1025" s="219"/>
      <c r="O1025" s="219"/>
      <c r="P1025" s="219"/>
      <c r="Q1025" s="219"/>
      <c r="R1025" s="240"/>
      <c r="S1025" s="240"/>
      <c r="T1025" s="240"/>
      <c r="U1025" s="230"/>
      <c r="V1025" s="231"/>
      <c r="W1025" s="242"/>
      <c r="X1025" s="233"/>
      <c r="Y1025" s="219"/>
      <c r="Z1025" s="219"/>
    </row>
    <row r="1026" spans="1:26" ht="15.75" thickBot="1">
      <c r="A1026" s="219"/>
      <c r="B1026" s="219"/>
      <c r="C1026" s="219"/>
      <c r="D1026" s="219"/>
      <c r="E1026" s="219"/>
      <c r="F1026" s="219"/>
      <c r="G1026" s="219"/>
      <c r="H1026" s="219"/>
      <c r="I1026" s="219"/>
      <c r="J1026" s="219"/>
      <c r="K1026" s="219"/>
      <c r="L1026" s="219"/>
      <c r="M1026" s="219"/>
      <c r="N1026" s="219"/>
      <c r="O1026" s="219"/>
      <c r="P1026" s="219"/>
      <c r="Q1026" s="219"/>
      <c r="R1026" s="240"/>
      <c r="S1026" s="240"/>
      <c r="T1026" s="240"/>
      <c r="U1026" s="230"/>
      <c r="V1026" s="231"/>
      <c r="W1026" s="242"/>
      <c r="X1026" s="233"/>
      <c r="Y1026" s="219"/>
      <c r="Z1026" s="219"/>
    </row>
    <row r="1027" spans="1:26" ht="15.75" thickBot="1">
      <c r="A1027" s="219"/>
      <c r="B1027" s="219"/>
      <c r="C1027" s="219"/>
      <c r="D1027" s="219"/>
      <c r="E1027" s="219"/>
      <c r="F1027" s="219"/>
      <c r="G1027" s="219"/>
      <c r="H1027" s="219"/>
      <c r="I1027" s="219"/>
      <c r="J1027" s="219"/>
      <c r="K1027" s="219"/>
      <c r="L1027" s="219"/>
      <c r="M1027" s="219"/>
      <c r="N1027" s="219"/>
      <c r="O1027" s="219"/>
      <c r="P1027" s="219"/>
      <c r="Q1027" s="219"/>
      <c r="R1027" s="240"/>
      <c r="S1027" s="240"/>
      <c r="T1027" s="240"/>
      <c r="U1027" s="230"/>
      <c r="V1027" s="231"/>
      <c r="W1027" s="242"/>
      <c r="X1027" s="233"/>
      <c r="Y1027" s="219"/>
      <c r="Z1027" s="219"/>
    </row>
    <row r="1028" spans="1:26" ht="15.75" thickBot="1">
      <c r="A1028" s="219"/>
      <c r="B1028" s="219"/>
      <c r="C1028" s="219"/>
      <c r="D1028" s="219"/>
      <c r="E1028" s="219"/>
      <c r="F1028" s="219"/>
      <c r="G1028" s="219"/>
      <c r="H1028" s="219"/>
      <c r="I1028" s="219"/>
      <c r="J1028" s="219"/>
      <c r="K1028" s="219"/>
      <c r="L1028" s="219"/>
      <c r="M1028" s="219"/>
      <c r="N1028" s="219"/>
      <c r="O1028" s="219"/>
      <c r="P1028" s="219"/>
      <c r="Q1028" s="219"/>
      <c r="R1028" s="240"/>
      <c r="S1028" s="240"/>
      <c r="T1028" s="240"/>
      <c r="U1028" s="230"/>
      <c r="V1028" s="231"/>
      <c r="W1028" s="242"/>
      <c r="X1028" s="233"/>
      <c r="Y1028" s="219"/>
      <c r="Z1028" s="219"/>
    </row>
    <row r="1029" spans="1:26" ht="15.75" thickBot="1">
      <c r="A1029" s="219"/>
      <c r="B1029" s="219"/>
      <c r="C1029" s="219"/>
      <c r="D1029" s="219"/>
      <c r="E1029" s="219"/>
      <c r="F1029" s="219"/>
      <c r="G1029" s="219"/>
      <c r="H1029" s="219"/>
      <c r="I1029" s="219"/>
      <c r="J1029" s="219"/>
      <c r="K1029" s="219"/>
      <c r="L1029" s="219"/>
      <c r="M1029" s="219"/>
      <c r="N1029" s="219"/>
      <c r="O1029" s="219"/>
      <c r="P1029" s="219"/>
      <c r="Q1029" s="219"/>
      <c r="R1029" s="240"/>
      <c r="S1029" s="240"/>
      <c r="T1029" s="240"/>
      <c r="U1029" s="230"/>
      <c r="V1029" s="231"/>
      <c r="W1029" s="242"/>
      <c r="X1029" s="233"/>
      <c r="Y1029" s="219"/>
      <c r="Z1029" s="219"/>
    </row>
    <row r="1030" spans="1:26" ht="15.75" thickBot="1">
      <c r="A1030" s="219"/>
      <c r="B1030" s="219"/>
      <c r="C1030" s="219"/>
      <c r="D1030" s="219"/>
      <c r="E1030" s="219"/>
      <c r="F1030" s="219"/>
      <c r="G1030" s="219"/>
      <c r="H1030" s="219"/>
      <c r="I1030" s="219"/>
      <c r="J1030" s="219"/>
      <c r="K1030" s="219"/>
      <c r="L1030" s="219"/>
      <c r="M1030" s="219"/>
      <c r="N1030" s="219"/>
      <c r="O1030" s="219"/>
      <c r="P1030" s="219"/>
      <c r="Q1030" s="219"/>
      <c r="R1030" s="240"/>
      <c r="S1030" s="240"/>
      <c r="T1030" s="240"/>
      <c r="U1030" s="230"/>
      <c r="V1030" s="231"/>
      <c r="W1030" s="242"/>
      <c r="X1030" s="233"/>
      <c r="Y1030" s="219"/>
      <c r="Z1030" s="219"/>
    </row>
    <row r="1031" spans="1:26" ht="15.75" thickBot="1">
      <c r="A1031" s="219"/>
      <c r="B1031" s="219"/>
      <c r="C1031" s="219"/>
      <c r="D1031" s="219"/>
      <c r="E1031" s="219"/>
      <c r="F1031" s="219"/>
      <c r="G1031" s="219"/>
      <c r="H1031" s="219"/>
      <c r="I1031" s="219"/>
      <c r="J1031" s="219"/>
      <c r="K1031" s="219"/>
      <c r="L1031" s="219"/>
      <c r="M1031" s="219"/>
      <c r="N1031" s="219"/>
      <c r="O1031" s="219"/>
      <c r="P1031" s="219"/>
      <c r="Q1031" s="219"/>
      <c r="R1031" s="240"/>
      <c r="S1031" s="240"/>
      <c r="T1031" s="240"/>
      <c r="U1031" s="230"/>
      <c r="V1031" s="231"/>
      <c r="W1031" s="242"/>
      <c r="X1031" s="233"/>
      <c r="Y1031" s="219"/>
      <c r="Z1031" s="219"/>
    </row>
    <row r="1032" spans="1:26" ht="15.75" thickBot="1">
      <c r="A1032" s="219"/>
      <c r="B1032" s="219"/>
      <c r="C1032" s="219"/>
      <c r="D1032" s="219"/>
      <c r="E1032" s="219"/>
      <c r="F1032" s="219"/>
      <c r="G1032" s="219"/>
      <c r="H1032" s="219"/>
      <c r="I1032" s="219"/>
      <c r="J1032" s="219"/>
      <c r="K1032" s="219"/>
      <c r="L1032" s="219"/>
      <c r="M1032" s="219"/>
      <c r="N1032" s="219"/>
      <c r="O1032" s="219"/>
      <c r="P1032" s="219"/>
      <c r="Q1032" s="219"/>
      <c r="R1032" s="240"/>
      <c r="S1032" s="240"/>
      <c r="T1032" s="240"/>
      <c r="U1032" s="230"/>
      <c r="V1032" s="231"/>
      <c r="W1032" s="242"/>
      <c r="X1032" s="233"/>
      <c r="Y1032" s="219"/>
      <c r="Z1032" s="219"/>
    </row>
    <row r="1033" spans="1:26" ht="15.75" thickBot="1">
      <c r="A1033" s="219"/>
      <c r="B1033" s="219"/>
      <c r="C1033" s="219"/>
      <c r="D1033" s="219"/>
      <c r="E1033" s="219"/>
      <c r="F1033" s="219"/>
      <c r="G1033" s="219"/>
      <c r="H1033" s="219"/>
      <c r="I1033" s="219"/>
      <c r="J1033" s="219"/>
      <c r="K1033" s="219"/>
      <c r="L1033" s="219"/>
      <c r="M1033" s="219"/>
      <c r="N1033" s="219"/>
      <c r="O1033" s="219"/>
      <c r="P1033" s="219"/>
      <c r="Q1033" s="219"/>
      <c r="R1033" s="240"/>
      <c r="S1033" s="240"/>
      <c r="T1033" s="240"/>
      <c r="U1033" s="230"/>
      <c r="V1033" s="231"/>
      <c r="W1033" s="242"/>
      <c r="X1033" s="233"/>
      <c r="Y1033" s="219"/>
      <c r="Z1033" s="219"/>
    </row>
    <row r="1034" spans="1:26" ht="15.75" thickBot="1">
      <c r="A1034" s="219"/>
      <c r="B1034" s="219"/>
      <c r="C1034" s="219"/>
      <c r="D1034" s="219"/>
      <c r="E1034" s="219"/>
      <c r="F1034" s="219"/>
      <c r="G1034" s="219"/>
      <c r="H1034" s="219"/>
      <c r="I1034" s="219"/>
      <c r="J1034" s="219"/>
      <c r="K1034" s="219"/>
      <c r="L1034" s="219"/>
      <c r="M1034" s="219"/>
      <c r="N1034" s="219"/>
      <c r="O1034" s="219"/>
      <c r="P1034" s="219"/>
      <c r="Q1034" s="219"/>
      <c r="R1034" s="240"/>
      <c r="S1034" s="240"/>
      <c r="T1034" s="240"/>
      <c r="U1034" s="230"/>
      <c r="V1034" s="231"/>
      <c r="W1034" s="242"/>
      <c r="X1034" s="233"/>
      <c r="Y1034" s="219"/>
      <c r="Z1034" s="219"/>
    </row>
    <row r="1035" spans="1:26" ht="15.75" thickBot="1">
      <c r="A1035" s="219"/>
      <c r="B1035" s="219"/>
      <c r="C1035" s="219"/>
      <c r="D1035" s="219"/>
      <c r="E1035" s="219"/>
      <c r="F1035" s="219"/>
      <c r="G1035" s="219"/>
      <c r="H1035" s="219"/>
      <c r="I1035" s="219"/>
      <c r="J1035" s="219"/>
      <c r="K1035" s="219"/>
      <c r="L1035" s="219"/>
      <c r="M1035" s="219"/>
      <c r="N1035" s="219"/>
      <c r="O1035" s="219"/>
      <c r="P1035" s="219"/>
      <c r="Q1035" s="219"/>
      <c r="R1035" s="240"/>
      <c r="S1035" s="240"/>
      <c r="T1035" s="240"/>
      <c r="U1035" s="230"/>
      <c r="V1035" s="231"/>
      <c r="W1035" s="242"/>
      <c r="X1035" s="233"/>
      <c r="Y1035" s="219"/>
      <c r="Z1035" s="219"/>
    </row>
    <row r="1036" spans="1:26" ht="15.75" thickBot="1">
      <c r="A1036" s="219"/>
      <c r="B1036" s="219"/>
      <c r="C1036" s="219"/>
      <c r="D1036" s="219"/>
      <c r="E1036" s="219"/>
      <c r="F1036" s="219"/>
      <c r="G1036" s="219"/>
      <c r="H1036" s="219"/>
      <c r="I1036" s="219"/>
      <c r="J1036" s="219"/>
      <c r="K1036" s="219"/>
      <c r="L1036" s="219"/>
      <c r="M1036" s="219"/>
      <c r="N1036" s="219"/>
      <c r="O1036" s="219"/>
      <c r="P1036" s="219"/>
      <c r="Q1036" s="219"/>
      <c r="R1036" s="240"/>
      <c r="S1036" s="240"/>
      <c r="T1036" s="240"/>
      <c r="U1036" s="230"/>
      <c r="V1036" s="231"/>
      <c r="W1036" s="242"/>
      <c r="X1036" s="233"/>
      <c r="Y1036" s="219"/>
      <c r="Z1036" s="219"/>
    </row>
    <row r="1037" spans="1:26" ht="15.75" thickBot="1">
      <c r="A1037" s="219"/>
      <c r="B1037" s="219"/>
      <c r="C1037" s="219"/>
      <c r="D1037" s="219"/>
      <c r="E1037" s="219"/>
      <c r="F1037" s="219"/>
      <c r="G1037" s="219"/>
      <c r="H1037" s="219"/>
      <c r="I1037" s="219"/>
      <c r="J1037" s="219"/>
      <c r="K1037" s="219"/>
      <c r="L1037" s="219"/>
      <c r="M1037" s="219"/>
      <c r="N1037" s="219"/>
      <c r="O1037" s="219"/>
      <c r="P1037" s="219"/>
      <c r="Q1037" s="219"/>
      <c r="R1037" s="240"/>
      <c r="S1037" s="240"/>
      <c r="T1037" s="240"/>
      <c r="U1037" s="230"/>
      <c r="V1037" s="231"/>
      <c r="W1037" s="242"/>
      <c r="X1037" s="233"/>
      <c r="Y1037" s="219"/>
      <c r="Z1037" s="219"/>
    </row>
    <row r="1038" spans="1:26" ht="15.75" thickBot="1">
      <c r="A1038" s="219"/>
      <c r="B1038" s="219"/>
      <c r="C1038" s="219"/>
      <c r="D1038" s="219"/>
      <c r="E1038" s="219"/>
      <c r="F1038" s="219"/>
      <c r="G1038" s="219"/>
      <c r="H1038" s="219"/>
      <c r="I1038" s="219"/>
      <c r="J1038" s="219"/>
      <c r="K1038" s="219"/>
      <c r="L1038" s="219"/>
      <c r="M1038" s="219"/>
      <c r="N1038" s="219"/>
      <c r="O1038" s="219"/>
      <c r="P1038" s="219"/>
      <c r="Q1038" s="219"/>
      <c r="R1038" s="240"/>
      <c r="S1038" s="240"/>
      <c r="T1038" s="240"/>
      <c r="U1038" s="230"/>
      <c r="V1038" s="231"/>
      <c r="W1038" s="242"/>
      <c r="X1038" s="233"/>
      <c r="Y1038" s="219"/>
      <c r="Z1038" s="219"/>
    </row>
    <row r="1039" spans="1:26" ht="15.75" thickBot="1">
      <c r="A1039" s="219"/>
      <c r="B1039" s="219"/>
      <c r="C1039" s="219"/>
      <c r="D1039" s="219"/>
      <c r="E1039" s="219"/>
      <c r="F1039" s="219"/>
      <c r="G1039" s="219"/>
      <c r="H1039" s="219"/>
      <c r="I1039" s="219"/>
      <c r="J1039" s="219"/>
      <c r="K1039" s="219"/>
      <c r="L1039" s="219"/>
      <c r="M1039" s="219"/>
      <c r="N1039" s="219"/>
      <c r="O1039" s="219"/>
      <c r="P1039" s="219"/>
      <c r="Q1039" s="219"/>
      <c r="R1039" s="240"/>
      <c r="S1039" s="240"/>
      <c r="T1039" s="240"/>
      <c r="U1039" s="230"/>
      <c r="V1039" s="231"/>
      <c r="W1039" s="242"/>
      <c r="X1039" s="233"/>
      <c r="Y1039" s="219"/>
      <c r="Z1039" s="219"/>
    </row>
    <row r="1040" spans="1:26" ht="15.75" thickBot="1">
      <c r="A1040" s="219"/>
      <c r="B1040" s="219"/>
      <c r="C1040" s="219"/>
      <c r="D1040" s="219"/>
      <c r="E1040" s="219"/>
      <c r="F1040" s="219"/>
      <c r="G1040" s="219"/>
      <c r="H1040" s="219"/>
      <c r="I1040" s="219"/>
      <c r="J1040" s="219"/>
      <c r="K1040" s="219"/>
      <c r="L1040" s="219"/>
      <c r="M1040" s="219"/>
      <c r="N1040" s="219"/>
      <c r="O1040" s="219"/>
      <c r="P1040" s="219"/>
      <c r="Q1040" s="219"/>
      <c r="R1040" s="240"/>
      <c r="S1040" s="240"/>
      <c r="T1040" s="240"/>
      <c r="U1040" s="230"/>
      <c r="V1040" s="231"/>
      <c r="W1040" s="242"/>
      <c r="X1040" s="233"/>
      <c r="Y1040" s="219"/>
      <c r="Z1040" s="219"/>
    </row>
    <row r="1041" spans="1:26" ht="15.75" thickBot="1">
      <c r="A1041" s="219"/>
      <c r="B1041" s="219"/>
      <c r="C1041" s="219"/>
      <c r="D1041" s="219"/>
      <c r="E1041" s="219"/>
      <c r="F1041" s="219"/>
      <c r="G1041" s="219"/>
      <c r="H1041" s="219"/>
      <c r="I1041" s="219"/>
      <c r="J1041" s="219"/>
      <c r="K1041" s="219"/>
      <c r="L1041" s="219"/>
      <c r="M1041" s="219"/>
      <c r="N1041" s="219"/>
      <c r="O1041" s="219"/>
      <c r="P1041" s="219"/>
      <c r="Q1041" s="219"/>
      <c r="R1041" s="240"/>
      <c r="S1041" s="240"/>
      <c r="T1041" s="240"/>
      <c r="U1041" s="230"/>
      <c r="V1041" s="231"/>
      <c r="W1041" s="242"/>
      <c r="X1041" s="233"/>
      <c r="Y1041" s="219"/>
      <c r="Z1041" s="219"/>
    </row>
    <row r="1042" spans="1:26" ht="15.75" thickBot="1">
      <c r="A1042" s="219"/>
      <c r="B1042" s="219"/>
      <c r="C1042" s="219"/>
      <c r="D1042" s="219"/>
      <c r="E1042" s="219"/>
      <c r="F1042" s="219"/>
      <c r="G1042" s="219"/>
      <c r="H1042" s="219"/>
      <c r="I1042" s="219"/>
      <c r="J1042" s="219"/>
      <c r="K1042" s="219"/>
      <c r="L1042" s="219"/>
      <c r="M1042" s="219"/>
      <c r="N1042" s="219"/>
      <c r="O1042" s="219"/>
      <c r="P1042" s="219"/>
      <c r="Q1042" s="219"/>
      <c r="R1042" s="240"/>
      <c r="S1042" s="240"/>
      <c r="T1042" s="240"/>
      <c r="U1042" s="230"/>
      <c r="V1042" s="231"/>
      <c r="W1042" s="242"/>
      <c r="X1042" s="233"/>
      <c r="Y1042" s="219"/>
      <c r="Z1042" s="219"/>
    </row>
    <row r="1043" spans="1:26" ht="15.75" thickBot="1">
      <c r="A1043" s="219"/>
      <c r="B1043" s="219"/>
      <c r="C1043" s="219"/>
      <c r="D1043" s="219"/>
      <c r="E1043" s="219"/>
      <c r="F1043" s="219"/>
      <c r="G1043" s="219"/>
      <c r="H1043" s="219"/>
      <c r="I1043" s="219"/>
      <c r="J1043" s="219"/>
      <c r="K1043" s="219"/>
      <c r="L1043" s="219"/>
      <c r="M1043" s="219"/>
      <c r="N1043" s="219"/>
      <c r="O1043" s="219"/>
      <c r="P1043" s="219"/>
      <c r="Q1043" s="219"/>
      <c r="R1043" s="240"/>
      <c r="S1043" s="240"/>
      <c r="T1043" s="240"/>
      <c r="U1043" s="230"/>
      <c r="V1043" s="231"/>
      <c r="W1043" s="242"/>
      <c r="X1043" s="233"/>
      <c r="Y1043" s="219"/>
      <c r="Z1043" s="219"/>
    </row>
    <row r="1044" spans="1:26" ht="15.75" thickBot="1">
      <c r="A1044" s="219"/>
      <c r="B1044" s="219"/>
      <c r="C1044" s="219"/>
      <c r="D1044" s="219"/>
      <c r="E1044" s="219"/>
      <c r="F1044" s="219"/>
      <c r="G1044" s="219"/>
      <c r="H1044" s="219"/>
      <c r="I1044" s="219"/>
      <c r="J1044" s="219"/>
      <c r="K1044" s="219"/>
      <c r="L1044" s="219"/>
      <c r="M1044" s="219"/>
      <c r="N1044" s="219"/>
      <c r="O1044" s="219"/>
      <c r="P1044" s="219"/>
      <c r="Q1044" s="219"/>
      <c r="R1044" s="240"/>
      <c r="S1044" s="240"/>
      <c r="T1044" s="240"/>
      <c r="U1044" s="230"/>
      <c r="V1044" s="231"/>
      <c r="W1044" s="242"/>
      <c r="X1044" s="233"/>
      <c r="Y1044" s="219"/>
      <c r="Z1044" s="219"/>
    </row>
    <row r="1045" spans="1:26" ht="15.75" thickBot="1">
      <c r="A1045" s="219"/>
      <c r="B1045" s="219"/>
      <c r="C1045" s="219"/>
      <c r="D1045" s="219"/>
      <c r="E1045" s="219"/>
      <c r="F1045" s="219"/>
      <c r="G1045" s="219"/>
      <c r="H1045" s="219"/>
      <c r="I1045" s="219"/>
      <c r="J1045" s="219"/>
      <c r="K1045" s="219"/>
      <c r="L1045" s="219"/>
      <c r="M1045" s="219"/>
      <c r="N1045" s="219"/>
      <c r="O1045" s="219"/>
      <c r="P1045" s="219"/>
      <c r="Q1045" s="219"/>
      <c r="R1045" s="240"/>
      <c r="S1045" s="240"/>
      <c r="T1045" s="240"/>
      <c r="U1045" s="230"/>
      <c r="V1045" s="231"/>
      <c r="W1045" s="242"/>
      <c r="X1045" s="233"/>
      <c r="Y1045" s="219"/>
      <c r="Z1045" s="219"/>
    </row>
    <row r="1046" spans="1:26" ht="15.75" thickBot="1">
      <c r="A1046" s="219"/>
      <c r="B1046" s="219"/>
      <c r="C1046" s="219"/>
      <c r="D1046" s="219"/>
      <c r="E1046" s="219"/>
      <c r="F1046" s="219"/>
      <c r="G1046" s="219"/>
      <c r="H1046" s="219"/>
      <c r="I1046" s="219"/>
      <c r="J1046" s="219"/>
      <c r="K1046" s="219"/>
      <c r="L1046" s="219"/>
      <c r="M1046" s="219"/>
      <c r="N1046" s="219"/>
      <c r="O1046" s="219"/>
      <c r="P1046" s="219"/>
      <c r="Q1046" s="219"/>
      <c r="R1046" s="240"/>
      <c r="S1046" s="240"/>
      <c r="T1046" s="240"/>
      <c r="U1046" s="230"/>
      <c r="V1046" s="231"/>
      <c r="W1046" s="242"/>
      <c r="X1046" s="233"/>
      <c r="Y1046" s="219"/>
      <c r="Z1046" s="219"/>
    </row>
    <row r="1047" spans="1:26" ht="15.75" thickBot="1">
      <c r="A1047" s="219"/>
      <c r="B1047" s="219"/>
      <c r="C1047" s="219"/>
      <c r="D1047" s="219"/>
      <c r="E1047" s="219"/>
      <c r="F1047" s="219"/>
      <c r="G1047" s="219"/>
      <c r="H1047" s="219"/>
      <c r="I1047" s="219"/>
      <c r="J1047" s="219"/>
      <c r="K1047" s="219"/>
      <c r="L1047" s="219"/>
      <c r="M1047" s="219"/>
      <c r="N1047" s="219"/>
      <c r="O1047" s="219"/>
      <c r="P1047" s="219"/>
      <c r="Q1047" s="219"/>
      <c r="R1047" s="240"/>
      <c r="S1047" s="240"/>
      <c r="T1047" s="240"/>
      <c r="U1047" s="230"/>
      <c r="V1047" s="231"/>
      <c r="W1047" s="242"/>
      <c r="X1047" s="233"/>
      <c r="Y1047" s="219"/>
      <c r="Z1047" s="219"/>
    </row>
    <row r="1048" spans="1:26" ht="15.75" thickBot="1">
      <c r="A1048" s="219"/>
      <c r="B1048" s="219"/>
      <c r="C1048" s="219"/>
      <c r="D1048" s="219"/>
      <c r="E1048" s="219"/>
      <c r="F1048" s="219"/>
      <c r="G1048" s="219"/>
      <c r="H1048" s="219"/>
      <c r="I1048" s="219"/>
      <c r="J1048" s="219"/>
      <c r="K1048" s="219"/>
      <c r="L1048" s="219"/>
      <c r="M1048" s="219"/>
      <c r="N1048" s="219"/>
      <c r="O1048" s="219"/>
      <c r="P1048" s="219"/>
      <c r="Q1048" s="219"/>
      <c r="R1048" s="240"/>
      <c r="S1048" s="240"/>
      <c r="T1048" s="240"/>
      <c r="U1048" s="230"/>
      <c r="V1048" s="231"/>
      <c r="W1048" s="242"/>
      <c r="X1048" s="233"/>
      <c r="Y1048" s="219"/>
      <c r="Z1048" s="219"/>
    </row>
    <row r="1049" spans="1:26" ht="15.75" thickBot="1">
      <c r="A1049" s="219"/>
      <c r="B1049" s="219"/>
      <c r="C1049" s="219"/>
      <c r="D1049" s="219"/>
      <c r="E1049" s="219"/>
      <c r="F1049" s="219"/>
      <c r="G1049" s="219"/>
      <c r="H1049" s="219"/>
      <c r="I1049" s="219"/>
      <c r="J1049" s="219"/>
      <c r="K1049" s="219"/>
      <c r="L1049" s="219"/>
      <c r="M1049" s="219"/>
      <c r="N1049" s="219"/>
      <c r="O1049" s="219"/>
      <c r="P1049" s="219"/>
      <c r="Q1049" s="219"/>
      <c r="R1049" s="240"/>
      <c r="S1049" s="240"/>
      <c r="T1049" s="240"/>
      <c r="U1049" s="230"/>
      <c r="V1049" s="231"/>
      <c r="W1049" s="242"/>
      <c r="X1049" s="233"/>
      <c r="Y1049" s="219"/>
      <c r="Z1049" s="219"/>
    </row>
    <row r="1050" spans="1:26" ht="15.75" thickBot="1">
      <c r="A1050" s="219"/>
      <c r="B1050" s="219"/>
      <c r="C1050" s="219"/>
      <c r="D1050" s="219"/>
      <c r="E1050" s="219"/>
      <c r="F1050" s="219"/>
      <c r="G1050" s="219"/>
      <c r="H1050" s="219"/>
      <c r="I1050" s="219"/>
      <c r="J1050" s="219"/>
      <c r="K1050" s="219"/>
      <c r="L1050" s="219"/>
      <c r="M1050" s="219"/>
      <c r="N1050" s="219"/>
      <c r="O1050" s="219"/>
      <c r="P1050" s="219"/>
      <c r="Q1050" s="219"/>
      <c r="R1050" s="240"/>
      <c r="S1050" s="240"/>
      <c r="T1050" s="240"/>
      <c r="U1050" s="230"/>
      <c r="V1050" s="231"/>
      <c r="W1050" s="242"/>
      <c r="X1050" s="233"/>
      <c r="Y1050" s="219"/>
      <c r="Z1050" s="219"/>
    </row>
    <row r="1051" spans="1:26" ht="15.75" thickBot="1">
      <c r="A1051" s="219"/>
      <c r="B1051" s="219"/>
      <c r="C1051" s="219"/>
      <c r="D1051" s="219"/>
      <c r="E1051" s="219"/>
      <c r="F1051" s="219"/>
      <c r="G1051" s="219"/>
      <c r="H1051" s="219"/>
      <c r="I1051" s="219"/>
      <c r="J1051" s="219"/>
      <c r="K1051" s="219"/>
      <c r="L1051" s="219"/>
      <c r="M1051" s="219"/>
      <c r="N1051" s="219"/>
      <c r="O1051" s="219"/>
      <c r="P1051" s="219"/>
      <c r="Q1051" s="219"/>
      <c r="R1051" s="240"/>
      <c r="S1051" s="240"/>
      <c r="T1051" s="240"/>
      <c r="U1051" s="230"/>
      <c r="V1051" s="231"/>
      <c r="W1051" s="242"/>
      <c r="X1051" s="233"/>
      <c r="Y1051" s="219"/>
      <c r="Z1051" s="219"/>
    </row>
    <row r="1052" spans="1:26" ht="15.75" thickBot="1">
      <c r="A1052" s="219"/>
      <c r="B1052" s="219"/>
      <c r="C1052" s="219"/>
      <c r="D1052" s="219"/>
      <c r="E1052" s="219"/>
      <c r="F1052" s="219"/>
      <c r="G1052" s="219"/>
      <c r="H1052" s="219"/>
      <c r="I1052" s="219"/>
      <c r="J1052" s="219"/>
      <c r="K1052" s="219"/>
      <c r="L1052" s="219"/>
      <c r="M1052" s="219"/>
      <c r="N1052" s="219"/>
      <c r="O1052" s="219"/>
      <c r="P1052" s="219"/>
      <c r="Q1052" s="219"/>
      <c r="R1052" s="240"/>
      <c r="S1052" s="240"/>
      <c r="T1052" s="240"/>
      <c r="U1052" s="230"/>
      <c r="V1052" s="231"/>
      <c r="W1052" s="242"/>
      <c r="X1052" s="233"/>
      <c r="Y1052" s="219"/>
      <c r="Z1052" s="219"/>
    </row>
    <row r="1053" spans="1:26" ht="15.75" thickBot="1">
      <c r="A1053" s="219"/>
      <c r="B1053" s="219"/>
      <c r="C1053" s="219"/>
      <c r="D1053" s="219"/>
      <c r="E1053" s="219"/>
      <c r="F1053" s="219"/>
      <c r="G1053" s="219"/>
      <c r="H1053" s="219"/>
      <c r="I1053" s="219"/>
      <c r="J1053" s="219"/>
      <c r="K1053" s="219"/>
      <c r="L1053" s="219"/>
      <c r="M1053" s="219"/>
      <c r="N1053" s="219"/>
      <c r="O1053" s="219"/>
      <c r="P1053" s="219"/>
      <c r="Q1053" s="219"/>
      <c r="R1053" s="240"/>
      <c r="S1053" s="240"/>
      <c r="T1053" s="240"/>
      <c r="U1053" s="230"/>
      <c r="V1053" s="231"/>
      <c r="W1053" s="242"/>
      <c r="X1053" s="233"/>
      <c r="Y1053" s="219"/>
      <c r="Z1053" s="219"/>
    </row>
    <row r="1054" spans="1:26" ht="15.75" thickBot="1">
      <c r="A1054" s="219"/>
      <c r="B1054" s="219"/>
      <c r="C1054" s="219"/>
      <c r="D1054" s="219"/>
      <c r="E1054" s="219"/>
      <c r="F1054" s="219"/>
      <c r="G1054" s="219"/>
      <c r="H1054" s="219"/>
      <c r="I1054" s="219"/>
      <c r="J1054" s="219"/>
      <c r="K1054" s="219"/>
      <c r="L1054" s="219"/>
      <c r="M1054" s="219"/>
      <c r="N1054" s="219"/>
      <c r="O1054" s="219"/>
      <c r="P1054" s="219"/>
      <c r="Q1054" s="219"/>
      <c r="R1054" s="240"/>
      <c r="S1054" s="240"/>
      <c r="T1054" s="240"/>
      <c r="U1054" s="230"/>
      <c r="V1054" s="231"/>
      <c r="W1054" s="242"/>
      <c r="X1054" s="233"/>
      <c r="Y1054" s="219"/>
      <c r="Z1054" s="219"/>
    </row>
    <row r="1055" spans="1:26" ht="15.75" thickBot="1">
      <c r="A1055" s="219"/>
      <c r="B1055" s="219"/>
      <c r="C1055" s="219"/>
      <c r="D1055" s="219"/>
      <c r="E1055" s="219"/>
      <c r="F1055" s="219"/>
      <c r="G1055" s="219"/>
      <c r="H1055" s="219"/>
      <c r="I1055" s="219"/>
      <c r="J1055" s="219"/>
      <c r="K1055" s="219"/>
      <c r="L1055" s="219"/>
      <c r="M1055" s="219"/>
      <c r="N1055" s="219"/>
      <c r="O1055" s="219"/>
      <c r="P1055" s="219"/>
      <c r="Q1055" s="219"/>
      <c r="R1055" s="240"/>
      <c r="S1055" s="240"/>
      <c r="T1055" s="240"/>
      <c r="U1055" s="230"/>
      <c r="V1055" s="231"/>
      <c r="W1055" s="242"/>
      <c r="X1055" s="233"/>
      <c r="Y1055" s="219"/>
      <c r="Z1055" s="219"/>
    </row>
    <row r="1056" spans="1:26" ht="15.75" thickBot="1">
      <c r="A1056" s="219"/>
      <c r="B1056" s="219"/>
      <c r="C1056" s="219"/>
      <c r="D1056" s="219"/>
      <c r="E1056" s="219"/>
      <c r="F1056" s="219"/>
      <c r="G1056" s="219"/>
      <c r="H1056" s="219"/>
      <c r="I1056" s="219"/>
      <c r="J1056" s="219"/>
      <c r="K1056" s="219"/>
      <c r="L1056" s="219"/>
      <c r="M1056" s="219"/>
      <c r="N1056" s="219"/>
      <c r="O1056" s="219"/>
      <c r="P1056" s="219"/>
      <c r="Q1056" s="219"/>
      <c r="R1056" s="240"/>
      <c r="S1056" s="240"/>
      <c r="T1056" s="240"/>
      <c r="U1056" s="230"/>
      <c r="V1056" s="231"/>
      <c r="W1056" s="242"/>
      <c r="X1056" s="233"/>
      <c r="Y1056" s="219"/>
      <c r="Z1056" s="219"/>
    </row>
    <row r="1057" spans="1:26" ht="15.75" thickBot="1">
      <c r="A1057" s="219"/>
      <c r="B1057" s="219"/>
      <c r="C1057" s="219"/>
      <c r="D1057" s="219"/>
      <c r="E1057" s="219"/>
      <c r="F1057" s="219"/>
      <c r="G1057" s="219"/>
      <c r="H1057" s="219"/>
      <c r="I1057" s="219"/>
      <c r="J1057" s="219"/>
      <c r="K1057" s="219"/>
      <c r="L1057" s="219"/>
      <c r="M1057" s="219"/>
      <c r="N1057" s="219"/>
      <c r="O1057" s="219"/>
      <c r="P1057" s="219"/>
      <c r="Q1057" s="219"/>
      <c r="R1057" s="240"/>
      <c r="S1057" s="240"/>
      <c r="T1057" s="240"/>
      <c r="U1057" s="230"/>
      <c r="V1057" s="231"/>
      <c r="W1057" s="242"/>
      <c r="X1057" s="233"/>
      <c r="Y1057" s="219"/>
      <c r="Z1057" s="219"/>
    </row>
    <row r="1058" spans="1:26" ht="15.75" thickBot="1">
      <c r="A1058" s="219"/>
      <c r="B1058" s="219"/>
      <c r="C1058" s="219"/>
      <c r="D1058" s="219"/>
      <c r="E1058" s="219"/>
      <c r="F1058" s="219"/>
      <c r="G1058" s="219"/>
      <c r="H1058" s="219"/>
      <c r="I1058" s="219"/>
      <c r="J1058" s="219"/>
      <c r="K1058" s="219"/>
      <c r="L1058" s="219"/>
      <c r="M1058" s="219"/>
      <c r="N1058" s="219"/>
      <c r="O1058" s="219"/>
      <c r="P1058" s="219"/>
      <c r="Q1058" s="219"/>
      <c r="R1058" s="240"/>
      <c r="S1058" s="240"/>
      <c r="T1058" s="240"/>
      <c r="U1058" s="230"/>
      <c r="V1058" s="231"/>
      <c r="W1058" s="242"/>
      <c r="X1058" s="233"/>
      <c r="Y1058" s="219"/>
      <c r="Z1058" s="219"/>
    </row>
    <row r="1059" spans="1:26" ht="15.75" thickBot="1">
      <c r="A1059" s="219"/>
      <c r="B1059" s="219"/>
      <c r="C1059" s="219"/>
      <c r="D1059" s="219"/>
      <c r="E1059" s="219"/>
      <c r="F1059" s="219"/>
      <c r="G1059" s="219"/>
      <c r="H1059" s="219"/>
      <c r="I1059" s="219"/>
      <c r="J1059" s="219"/>
      <c r="K1059" s="219"/>
      <c r="L1059" s="219"/>
      <c r="M1059" s="219"/>
      <c r="N1059" s="219"/>
      <c r="O1059" s="219"/>
      <c r="P1059" s="219"/>
      <c r="Q1059" s="219"/>
      <c r="R1059" s="240"/>
      <c r="S1059" s="240"/>
      <c r="T1059" s="240"/>
      <c r="U1059" s="230"/>
      <c r="V1059" s="231"/>
      <c r="W1059" s="242"/>
      <c r="X1059" s="233"/>
      <c r="Y1059" s="219"/>
      <c r="Z1059" s="219"/>
    </row>
    <row r="1060" spans="1:26" ht="15.75" thickBot="1">
      <c r="A1060" s="219"/>
      <c r="B1060" s="219"/>
      <c r="C1060" s="219"/>
      <c r="D1060" s="219"/>
      <c r="E1060" s="219"/>
      <c r="F1060" s="219"/>
      <c r="G1060" s="219"/>
      <c r="H1060" s="219"/>
      <c r="I1060" s="219"/>
      <c r="J1060" s="219"/>
      <c r="K1060" s="219"/>
      <c r="L1060" s="219"/>
      <c r="M1060" s="219"/>
      <c r="N1060" s="219"/>
      <c r="O1060" s="219"/>
      <c r="P1060" s="219"/>
      <c r="Q1060" s="219"/>
      <c r="R1060" s="240"/>
      <c r="S1060" s="240"/>
      <c r="T1060" s="240"/>
      <c r="U1060" s="230"/>
      <c r="V1060" s="231"/>
      <c r="W1060" s="242"/>
      <c r="X1060" s="233"/>
      <c r="Y1060" s="219"/>
      <c r="Z1060" s="219"/>
    </row>
    <row r="1061" spans="1:26" ht="15.75" thickBot="1">
      <c r="A1061" s="219"/>
      <c r="B1061" s="219"/>
      <c r="C1061" s="219"/>
      <c r="D1061" s="219"/>
      <c r="E1061" s="219"/>
      <c r="F1061" s="219"/>
      <c r="G1061" s="219"/>
      <c r="H1061" s="219"/>
      <c r="I1061" s="219"/>
      <c r="J1061" s="219"/>
      <c r="K1061" s="219"/>
      <c r="L1061" s="219"/>
      <c r="M1061" s="219"/>
      <c r="N1061" s="219"/>
      <c r="O1061" s="219"/>
      <c r="P1061" s="219"/>
      <c r="Q1061" s="219"/>
      <c r="R1061" s="240"/>
      <c r="S1061" s="240"/>
      <c r="T1061" s="240"/>
      <c r="U1061" s="230"/>
      <c r="V1061" s="231"/>
      <c r="W1061" s="242"/>
      <c r="X1061" s="233"/>
      <c r="Y1061" s="219"/>
      <c r="Z1061" s="219"/>
    </row>
    <row r="1062" spans="1:26" ht="15.75" thickBot="1">
      <c r="A1062" s="219"/>
      <c r="B1062" s="219"/>
      <c r="C1062" s="219"/>
      <c r="D1062" s="219"/>
      <c r="E1062" s="219"/>
      <c r="F1062" s="219"/>
      <c r="G1062" s="219"/>
      <c r="H1062" s="219"/>
      <c r="I1062" s="219"/>
      <c r="J1062" s="219"/>
      <c r="K1062" s="219"/>
      <c r="L1062" s="219"/>
      <c r="M1062" s="219"/>
      <c r="N1062" s="219"/>
      <c r="O1062" s="219"/>
      <c r="P1062" s="219"/>
      <c r="Q1062" s="219"/>
      <c r="R1062" s="240"/>
      <c r="S1062" s="240"/>
      <c r="T1062" s="240"/>
      <c r="U1062" s="230"/>
      <c r="V1062" s="231"/>
      <c r="W1062" s="242"/>
      <c r="X1062" s="233"/>
      <c r="Y1062" s="219"/>
      <c r="Z1062" s="219"/>
    </row>
    <row r="1063" spans="1:26" ht="15.75" thickBot="1">
      <c r="A1063" s="219"/>
      <c r="B1063" s="219"/>
      <c r="C1063" s="219"/>
      <c r="D1063" s="219"/>
      <c r="E1063" s="219"/>
      <c r="F1063" s="219"/>
      <c r="G1063" s="219"/>
      <c r="H1063" s="219"/>
      <c r="I1063" s="219"/>
      <c r="J1063" s="219"/>
      <c r="K1063" s="219"/>
      <c r="L1063" s="219"/>
      <c r="M1063" s="219"/>
      <c r="N1063" s="219"/>
      <c r="O1063" s="219"/>
      <c r="P1063" s="219"/>
      <c r="Q1063" s="219"/>
      <c r="R1063" s="240"/>
      <c r="S1063" s="240"/>
      <c r="T1063" s="240"/>
      <c r="U1063" s="230"/>
      <c r="V1063" s="231"/>
      <c r="W1063" s="242"/>
      <c r="X1063" s="233"/>
      <c r="Y1063" s="219"/>
      <c r="Z1063" s="219"/>
    </row>
    <row r="1064" spans="1:26" ht="15.75" thickBot="1">
      <c r="A1064" s="219"/>
      <c r="B1064" s="219"/>
      <c r="C1064" s="219"/>
      <c r="D1064" s="219"/>
      <c r="E1064" s="219"/>
      <c r="F1064" s="219"/>
      <c r="G1064" s="219"/>
      <c r="H1064" s="219"/>
      <c r="I1064" s="219"/>
      <c r="J1064" s="219"/>
      <c r="K1064" s="219"/>
      <c r="L1064" s="219"/>
      <c r="M1064" s="219"/>
      <c r="N1064" s="219"/>
      <c r="O1064" s="219"/>
      <c r="P1064" s="219"/>
      <c r="Q1064" s="219"/>
      <c r="R1064" s="240"/>
      <c r="S1064" s="240"/>
      <c r="T1064" s="240"/>
      <c r="U1064" s="230"/>
      <c r="V1064" s="231"/>
      <c r="W1064" s="242"/>
      <c r="X1064" s="233"/>
      <c r="Y1064" s="219"/>
      <c r="Z1064" s="219"/>
    </row>
    <row r="1065" spans="1:26" ht="15.75" thickBot="1">
      <c r="A1065" s="219"/>
      <c r="B1065" s="219"/>
      <c r="C1065" s="219"/>
      <c r="D1065" s="219"/>
      <c r="E1065" s="219"/>
      <c r="F1065" s="219"/>
      <c r="G1065" s="219"/>
      <c r="H1065" s="219"/>
      <c r="I1065" s="219"/>
      <c r="J1065" s="219"/>
      <c r="K1065" s="219"/>
      <c r="L1065" s="219"/>
      <c r="M1065" s="219"/>
      <c r="N1065" s="219"/>
      <c r="O1065" s="219"/>
      <c r="P1065" s="219"/>
      <c r="Q1065" s="219"/>
      <c r="R1065" s="240"/>
      <c r="S1065" s="240"/>
      <c r="T1065" s="240"/>
      <c r="U1065" s="230"/>
      <c r="V1065" s="231"/>
      <c r="W1065" s="242"/>
      <c r="X1065" s="233"/>
      <c r="Y1065" s="219"/>
      <c r="Z1065" s="219"/>
    </row>
    <row r="1066" spans="1:26" ht="15.75" thickBot="1">
      <c r="A1066" s="219"/>
      <c r="B1066" s="219"/>
      <c r="C1066" s="219"/>
      <c r="D1066" s="219"/>
      <c r="E1066" s="219"/>
      <c r="F1066" s="219"/>
      <c r="G1066" s="219"/>
      <c r="H1066" s="219"/>
      <c r="I1066" s="219"/>
      <c r="J1066" s="219"/>
      <c r="K1066" s="219"/>
      <c r="L1066" s="219"/>
      <c r="M1066" s="219"/>
      <c r="N1066" s="219"/>
      <c r="O1066" s="219"/>
      <c r="P1066" s="219"/>
      <c r="Q1066" s="219"/>
      <c r="R1066" s="240"/>
      <c r="S1066" s="240"/>
      <c r="T1066" s="240"/>
      <c r="U1066" s="230"/>
      <c r="V1066" s="231"/>
      <c r="W1066" s="242"/>
      <c r="X1066" s="233"/>
      <c r="Y1066" s="219"/>
      <c r="Z1066" s="219"/>
    </row>
    <row r="1067" spans="1:26" ht="15.75" thickBot="1">
      <c r="A1067" s="219"/>
      <c r="B1067" s="219"/>
      <c r="C1067" s="219"/>
      <c r="D1067" s="219"/>
      <c r="E1067" s="219"/>
      <c r="F1067" s="219"/>
      <c r="G1067" s="219"/>
      <c r="H1067" s="219"/>
      <c r="I1067" s="219"/>
      <c r="J1067" s="219"/>
      <c r="K1067" s="219"/>
      <c r="L1067" s="219"/>
      <c r="M1067" s="219"/>
      <c r="N1067" s="219"/>
      <c r="O1067" s="219"/>
      <c r="P1067" s="219"/>
      <c r="Q1067" s="219"/>
      <c r="R1067" s="240"/>
      <c r="S1067" s="240"/>
      <c r="T1067" s="240"/>
      <c r="U1067" s="230"/>
      <c r="V1067" s="231"/>
      <c r="W1067" s="242"/>
      <c r="X1067" s="233"/>
      <c r="Y1067" s="219"/>
      <c r="Z1067" s="219"/>
    </row>
    <row r="1068" spans="1:26" ht="15.75" thickBot="1">
      <c r="A1068" s="219"/>
      <c r="B1068" s="219"/>
      <c r="C1068" s="219"/>
      <c r="D1068" s="219"/>
      <c r="E1068" s="219"/>
      <c r="F1068" s="219"/>
      <c r="G1068" s="219"/>
      <c r="H1068" s="219"/>
      <c r="I1068" s="219"/>
      <c r="J1068" s="219"/>
      <c r="K1068" s="219"/>
      <c r="L1068" s="219"/>
      <c r="M1068" s="219"/>
      <c r="N1068" s="219"/>
      <c r="O1068" s="219"/>
      <c r="P1068" s="219"/>
      <c r="Q1068" s="219"/>
      <c r="R1068" s="240"/>
      <c r="S1068" s="240"/>
      <c r="T1068" s="240"/>
      <c r="U1068" s="230"/>
      <c r="V1068" s="231"/>
      <c r="W1068" s="242"/>
      <c r="X1068" s="233"/>
      <c r="Y1068" s="219"/>
      <c r="Z1068" s="219"/>
    </row>
    <row r="1069" spans="1:26" ht="15.75" thickBot="1">
      <c r="A1069" s="219"/>
      <c r="B1069" s="219"/>
      <c r="C1069" s="219"/>
      <c r="D1069" s="219"/>
      <c r="E1069" s="219"/>
      <c r="F1069" s="219"/>
      <c r="G1069" s="219"/>
      <c r="H1069" s="219"/>
      <c r="I1069" s="219"/>
      <c r="J1069" s="219"/>
      <c r="K1069" s="219"/>
      <c r="L1069" s="219"/>
      <c r="M1069" s="219"/>
      <c r="N1069" s="219"/>
      <c r="O1069" s="219"/>
      <c r="P1069" s="219"/>
      <c r="Q1069" s="219"/>
      <c r="R1069" s="240"/>
      <c r="S1069" s="240"/>
      <c r="T1069" s="240"/>
      <c r="U1069" s="230"/>
      <c r="V1069" s="231"/>
      <c r="W1069" s="242"/>
      <c r="X1069" s="233"/>
      <c r="Y1069" s="219"/>
      <c r="Z1069" s="219"/>
    </row>
    <row r="1070" spans="1:26" ht="15.75" thickBot="1">
      <c r="A1070" s="219"/>
      <c r="B1070" s="219"/>
      <c r="C1070" s="219"/>
      <c r="D1070" s="219"/>
      <c r="E1070" s="219"/>
      <c r="F1070" s="219"/>
      <c r="G1070" s="219"/>
      <c r="H1070" s="219"/>
      <c r="I1070" s="219"/>
      <c r="J1070" s="219"/>
      <c r="K1070" s="219"/>
      <c r="L1070" s="219"/>
      <c r="M1070" s="219"/>
      <c r="N1070" s="219"/>
      <c r="O1070" s="219"/>
      <c r="P1070" s="219"/>
      <c r="Q1070" s="219"/>
      <c r="R1070" s="240"/>
      <c r="S1070" s="240"/>
      <c r="T1070" s="240"/>
      <c r="U1070" s="230"/>
      <c r="V1070" s="231"/>
      <c r="W1070" s="242"/>
      <c r="X1070" s="233"/>
      <c r="Y1070" s="219"/>
      <c r="Z1070" s="219"/>
    </row>
    <row r="1071" spans="1:26" ht="15.75" thickBot="1">
      <c r="A1071" s="219"/>
      <c r="B1071" s="219"/>
      <c r="C1071" s="219"/>
      <c r="D1071" s="219"/>
      <c r="E1071" s="219"/>
      <c r="F1071" s="219"/>
      <c r="G1071" s="219"/>
      <c r="H1071" s="219"/>
      <c r="I1071" s="219"/>
      <c r="J1071" s="219"/>
      <c r="K1071" s="219"/>
      <c r="L1071" s="219"/>
      <c r="M1071" s="219"/>
      <c r="N1071" s="219"/>
      <c r="O1071" s="219"/>
      <c r="P1071" s="219"/>
      <c r="Q1071" s="219"/>
      <c r="R1071" s="240"/>
      <c r="S1071" s="240"/>
      <c r="T1071" s="240"/>
      <c r="U1071" s="230"/>
      <c r="V1071" s="231"/>
      <c r="W1071" s="242"/>
      <c r="X1071" s="233"/>
      <c r="Y1071" s="219"/>
      <c r="Z1071" s="219"/>
    </row>
    <row r="1072" spans="1:26" ht="15.75" thickBot="1">
      <c r="A1072" s="219"/>
      <c r="B1072" s="219"/>
      <c r="C1072" s="219"/>
      <c r="D1072" s="219"/>
      <c r="E1072" s="219"/>
      <c r="F1072" s="219"/>
      <c r="G1072" s="219"/>
      <c r="H1072" s="219"/>
      <c r="I1072" s="219"/>
      <c r="J1072" s="219"/>
      <c r="K1072" s="219"/>
      <c r="L1072" s="219"/>
      <c r="M1072" s="219"/>
      <c r="N1072" s="219"/>
      <c r="O1072" s="219"/>
      <c r="P1072" s="219"/>
      <c r="Q1072" s="219"/>
      <c r="R1072" s="240"/>
      <c r="S1072" s="240"/>
      <c r="T1072" s="240"/>
      <c r="U1072" s="230"/>
      <c r="V1072" s="231"/>
      <c r="W1072" s="242"/>
      <c r="X1072" s="233"/>
      <c r="Y1072" s="219"/>
      <c r="Z1072" s="219"/>
    </row>
    <row r="1073" spans="1:26" ht="15.75" thickBot="1">
      <c r="A1073" s="219"/>
      <c r="B1073" s="219"/>
      <c r="C1073" s="219"/>
      <c r="D1073" s="219"/>
      <c r="E1073" s="219"/>
      <c r="F1073" s="219"/>
      <c r="G1073" s="219"/>
      <c r="H1073" s="219"/>
      <c r="I1073" s="219"/>
      <c r="J1073" s="219"/>
      <c r="K1073" s="219"/>
      <c r="L1073" s="219"/>
      <c r="M1073" s="219"/>
      <c r="N1073" s="219"/>
      <c r="O1073" s="219"/>
      <c r="P1073" s="219"/>
      <c r="Q1073" s="219"/>
      <c r="R1073" s="240"/>
      <c r="S1073" s="240"/>
      <c r="T1073" s="240"/>
      <c r="U1073" s="230"/>
      <c r="V1073" s="231"/>
      <c r="W1073" s="242"/>
      <c r="X1073" s="233"/>
      <c r="Y1073" s="219"/>
      <c r="Z1073" s="219"/>
    </row>
    <row r="1074" spans="1:26" ht="15.75" thickBot="1">
      <c r="A1074" s="219"/>
      <c r="B1074" s="219"/>
      <c r="C1074" s="219"/>
      <c r="D1074" s="219"/>
      <c r="E1074" s="219"/>
      <c r="F1074" s="219"/>
      <c r="G1074" s="219"/>
      <c r="H1074" s="219"/>
      <c r="I1074" s="219"/>
      <c r="J1074" s="219"/>
      <c r="K1074" s="219"/>
      <c r="L1074" s="219"/>
      <c r="M1074" s="219"/>
      <c r="N1074" s="219"/>
      <c r="O1074" s="219"/>
      <c r="P1074" s="219"/>
      <c r="Q1074" s="219"/>
      <c r="R1074" s="240"/>
      <c r="S1074" s="240"/>
      <c r="T1074" s="240"/>
      <c r="U1074" s="230"/>
      <c r="V1074" s="231"/>
      <c r="W1074" s="242"/>
      <c r="X1074" s="233"/>
      <c r="Y1074" s="219"/>
      <c r="Z1074" s="219"/>
    </row>
    <row r="1075" spans="1:26" ht="15.75" thickBot="1">
      <c r="A1075" s="219"/>
      <c r="B1075" s="219"/>
      <c r="C1075" s="219"/>
      <c r="D1075" s="219"/>
      <c r="E1075" s="219"/>
      <c r="F1075" s="219"/>
      <c r="G1075" s="219"/>
      <c r="H1075" s="219"/>
      <c r="I1075" s="219"/>
      <c r="J1075" s="219"/>
      <c r="K1075" s="219"/>
      <c r="L1075" s="219"/>
      <c r="M1075" s="219"/>
      <c r="N1075" s="219"/>
      <c r="O1075" s="219"/>
      <c r="P1075" s="219"/>
      <c r="Q1075" s="219"/>
      <c r="R1075" s="240"/>
      <c r="S1075" s="240"/>
      <c r="T1075" s="240"/>
      <c r="U1075" s="230"/>
      <c r="V1075" s="231"/>
      <c r="W1075" s="242"/>
      <c r="X1075" s="233"/>
      <c r="Y1075" s="219"/>
      <c r="Z1075" s="219"/>
    </row>
    <row r="1076" spans="1:26" ht="15.75" thickBot="1">
      <c r="A1076" s="219"/>
      <c r="B1076" s="219"/>
      <c r="C1076" s="219"/>
      <c r="D1076" s="219"/>
      <c r="E1076" s="219"/>
      <c r="F1076" s="219"/>
      <c r="G1076" s="219"/>
      <c r="H1076" s="219"/>
      <c r="I1076" s="219"/>
      <c r="J1076" s="219"/>
      <c r="K1076" s="219"/>
      <c r="L1076" s="219"/>
      <c r="M1076" s="219"/>
      <c r="N1076" s="219"/>
      <c r="O1076" s="219"/>
      <c r="P1076" s="219"/>
      <c r="Q1076" s="219"/>
      <c r="R1076" s="240"/>
      <c r="S1076" s="240"/>
      <c r="T1076" s="240"/>
      <c r="U1076" s="230"/>
      <c r="V1076" s="231"/>
      <c r="W1076" s="242"/>
      <c r="X1076" s="233"/>
      <c r="Y1076" s="219"/>
      <c r="Z1076" s="219"/>
    </row>
    <row r="1077" spans="1:26" ht="15.75" thickBot="1">
      <c r="A1077" s="219"/>
      <c r="B1077" s="219"/>
      <c r="C1077" s="219"/>
      <c r="D1077" s="219"/>
      <c r="E1077" s="219"/>
      <c r="F1077" s="219"/>
      <c r="G1077" s="219"/>
      <c r="H1077" s="219"/>
      <c r="I1077" s="219"/>
      <c r="J1077" s="219"/>
      <c r="K1077" s="219"/>
      <c r="L1077" s="219"/>
      <c r="M1077" s="219"/>
      <c r="N1077" s="219"/>
      <c r="O1077" s="219"/>
      <c r="P1077" s="219"/>
      <c r="Q1077" s="219"/>
      <c r="R1077" s="240"/>
      <c r="S1077" s="240"/>
      <c r="T1077" s="240"/>
      <c r="U1077" s="230"/>
      <c r="V1077" s="231"/>
      <c r="W1077" s="242"/>
      <c r="X1077" s="233"/>
      <c r="Y1077" s="219"/>
      <c r="Z1077" s="219"/>
    </row>
    <row r="1078" spans="1:26" ht="15.75" thickBot="1">
      <c r="A1078" s="219"/>
      <c r="B1078" s="219"/>
      <c r="C1078" s="219"/>
      <c r="D1078" s="219"/>
      <c r="E1078" s="219"/>
      <c r="F1078" s="219"/>
      <c r="G1078" s="219"/>
      <c r="H1078" s="219"/>
      <c r="I1078" s="219"/>
      <c r="J1078" s="219"/>
      <c r="K1078" s="219"/>
      <c r="L1078" s="219"/>
      <c r="M1078" s="219"/>
      <c r="N1078" s="219"/>
      <c r="O1078" s="219"/>
      <c r="P1078" s="219"/>
      <c r="Q1078" s="219"/>
      <c r="R1078" s="240"/>
      <c r="S1078" s="240"/>
      <c r="T1078" s="240"/>
      <c r="U1078" s="230"/>
      <c r="V1078" s="231"/>
      <c r="W1078" s="242"/>
      <c r="X1078" s="233"/>
      <c r="Y1078" s="219"/>
      <c r="Z1078" s="219"/>
    </row>
    <row r="1079" spans="1:26" ht="15.75" thickBot="1">
      <c r="A1079" s="219"/>
      <c r="B1079" s="219"/>
      <c r="C1079" s="219"/>
      <c r="D1079" s="219"/>
      <c r="E1079" s="219"/>
      <c r="F1079" s="219"/>
      <c r="G1079" s="219"/>
      <c r="H1079" s="219"/>
      <c r="I1079" s="219"/>
      <c r="J1079" s="219"/>
      <c r="K1079" s="219"/>
      <c r="L1079" s="219"/>
      <c r="M1079" s="219"/>
      <c r="N1079" s="219"/>
      <c r="O1079" s="219"/>
      <c r="P1079" s="219"/>
      <c r="Q1079" s="219"/>
      <c r="R1079" s="240"/>
      <c r="S1079" s="240"/>
      <c r="T1079" s="240"/>
      <c r="U1079" s="230"/>
      <c r="V1079" s="231"/>
      <c r="W1079" s="242"/>
      <c r="X1079" s="233"/>
      <c r="Y1079" s="219"/>
      <c r="Z1079" s="219"/>
    </row>
    <row r="1080" spans="1:26" ht="15.75" thickBot="1">
      <c r="A1080" s="219"/>
      <c r="B1080" s="219"/>
      <c r="C1080" s="219"/>
      <c r="D1080" s="219"/>
      <c r="E1080" s="219"/>
      <c r="F1080" s="219"/>
      <c r="G1080" s="219"/>
      <c r="H1080" s="219"/>
      <c r="I1080" s="219"/>
      <c r="J1080" s="219"/>
      <c r="K1080" s="219"/>
      <c r="L1080" s="219"/>
      <c r="M1080" s="219"/>
      <c r="N1080" s="219"/>
      <c r="O1080" s="219"/>
      <c r="P1080" s="219"/>
      <c r="Q1080" s="219"/>
      <c r="R1080" s="240"/>
      <c r="S1080" s="240"/>
      <c r="T1080" s="240"/>
      <c r="U1080" s="230"/>
      <c r="V1080" s="231"/>
      <c r="W1080" s="242"/>
      <c r="X1080" s="233"/>
      <c r="Y1080" s="219"/>
      <c r="Z1080" s="219"/>
    </row>
    <row r="1081" spans="1:26" ht="15.75" thickBot="1">
      <c r="A1081" s="219"/>
      <c r="B1081" s="219"/>
      <c r="C1081" s="219"/>
      <c r="D1081" s="219"/>
      <c r="E1081" s="219"/>
      <c r="F1081" s="219"/>
      <c r="G1081" s="219"/>
      <c r="H1081" s="219"/>
      <c r="I1081" s="219"/>
      <c r="J1081" s="219"/>
      <c r="K1081" s="219"/>
      <c r="L1081" s="219"/>
      <c r="M1081" s="219"/>
      <c r="N1081" s="219"/>
      <c r="O1081" s="219"/>
      <c r="P1081" s="219"/>
      <c r="Q1081" s="219"/>
      <c r="R1081" s="240"/>
      <c r="S1081" s="240"/>
      <c r="T1081" s="240"/>
      <c r="U1081" s="230"/>
      <c r="V1081" s="231"/>
      <c r="W1081" s="242"/>
      <c r="X1081" s="233"/>
      <c r="Y1081" s="219"/>
      <c r="Z1081" s="219"/>
    </row>
    <row r="1082" spans="1:26" ht="15.75" thickBot="1">
      <c r="A1082" s="219"/>
      <c r="B1082" s="219"/>
      <c r="C1082" s="219"/>
      <c r="D1082" s="219"/>
      <c r="E1082" s="219"/>
      <c r="F1082" s="219"/>
      <c r="G1082" s="219"/>
      <c r="H1082" s="219"/>
      <c r="I1082" s="219"/>
      <c r="J1082" s="219"/>
      <c r="K1082" s="219"/>
      <c r="L1082" s="219"/>
      <c r="M1082" s="219"/>
      <c r="N1082" s="219"/>
      <c r="O1082" s="219"/>
      <c r="P1082" s="219"/>
      <c r="Q1082" s="219"/>
      <c r="R1082" s="240"/>
      <c r="S1082" s="240"/>
      <c r="T1082" s="240"/>
      <c r="U1082" s="230"/>
      <c r="V1082" s="231"/>
      <c r="W1082" s="242"/>
      <c r="X1082" s="233"/>
      <c r="Y1082" s="219"/>
      <c r="Z1082" s="219"/>
    </row>
    <row r="1083" spans="1:26" ht="15.75" thickBot="1">
      <c r="A1083" s="219"/>
      <c r="B1083" s="219"/>
      <c r="C1083" s="219"/>
      <c r="D1083" s="219"/>
      <c r="E1083" s="219"/>
      <c r="F1083" s="219"/>
      <c r="G1083" s="219"/>
      <c r="H1083" s="219"/>
      <c r="I1083" s="219"/>
      <c r="J1083" s="219"/>
      <c r="K1083" s="219"/>
      <c r="L1083" s="219"/>
      <c r="M1083" s="219"/>
      <c r="N1083" s="219"/>
      <c r="O1083" s="219"/>
      <c r="P1083" s="219"/>
      <c r="Q1083" s="219"/>
      <c r="R1083" s="240"/>
      <c r="S1083" s="240"/>
      <c r="T1083" s="240"/>
      <c r="U1083" s="230"/>
      <c r="V1083" s="231"/>
      <c r="W1083" s="242"/>
      <c r="X1083" s="233"/>
      <c r="Y1083" s="219"/>
      <c r="Z1083" s="219"/>
    </row>
    <row r="1084" spans="1:26" ht="15.75" thickBot="1">
      <c r="A1084" s="219"/>
      <c r="B1084" s="219"/>
      <c r="C1084" s="219"/>
      <c r="D1084" s="219"/>
      <c r="E1084" s="219"/>
      <c r="F1084" s="219"/>
      <c r="G1084" s="219"/>
      <c r="H1084" s="219"/>
      <c r="I1084" s="219"/>
      <c r="J1084" s="219"/>
      <c r="K1084" s="219"/>
      <c r="L1084" s="219"/>
      <c r="M1084" s="219"/>
      <c r="N1084" s="219"/>
      <c r="O1084" s="219"/>
      <c r="P1084" s="219"/>
      <c r="Q1084" s="219"/>
      <c r="R1084" s="240"/>
      <c r="S1084" s="240"/>
      <c r="T1084" s="240"/>
      <c r="U1084" s="230"/>
      <c r="V1084" s="231"/>
      <c r="W1084" s="242"/>
      <c r="X1084" s="233"/>
      <c r="Y1084" s="219"/>
      <c r="Z1084" s="219"/>
    </row>
    <row r="1085" spans="1:26" ht="15.75" thickBot="1">
      <c r="A1085" s="219"/>
      <c r="B1085" s="219"/>
      <c r="C1085" s="219"/>
      <c r="D1085" s="219"/>
      <c r="E1085" s="219"/>
      <c r="F1085" s="219"/>
      <c r="G1085" s="219"/>
      <c r="H1085" s="219"/>
      <c r="I1085" s="219"/>
      <c r="J1085" s="219"/>
      <c r="K1085" s="219"/>
      <c r="L1085" s="219"/>
      <c r="M1085" s="219"/>
      <c r="N1085" s="219"/>
      <c r="O1085" s="219"/>
      <c r="P1085" s="219"/>
      <c r="Q1085" s="219"/>
      <c r="R1085" s="240"/>
      <c r="S1085" s="240"/>
      <c r="T1085" s="240"/>
      <c r="U1085" s="230"/>
      <c r="V1085" s="231"/>
      <c r="W1085" s="242"/>
      <c r="X1085" s="233"/>
      <c r="Y1085" s="219"/>
      <c r="Z1085" s="219"/>
    </row>
    <row r="1086" spans="1:26" ht="15.75" thickBot="1">
      <c r="A1086" s="219"/>
      <c r="B1086" s="219"/>
      <c r="C1086" s="219"/>
      <c r="D1086" s="219"/>
      <c r="E1086" s="219"/>
      <c r="F1086" s="219"/>
      <c r="G1086" s="219"/>
      <c r="H1086" s="219"/>
      <c r="I1086" s="219"/>
      <c r="J1086" s="219"/>
      <c r="K1086" s="219"/>
      <c r="L1086" s="219"/>
      <c r="M1086" s="219"/>
      <c r="N1086" s="219"/>
      <c r="O1086" s="219"/>
      <c r="P1086" s="219"/>
      <c r="Q1086" s="219"/>
      <c r="R1086" s="240"/>
      <c r="S1086" s="240"/>
      <c r="T1086" s="240"/>
      <c r="U1086" s="230"/>
      <c r="V1086" s="231"/>
      <c r="W1086" s="242"/>
      <c r="X1086" s="233"/>
      <c r="Y1086" s="219"/>
      <c r="Z1086" s="219"/>
    </row>
    <row r="1087" spans="1:26" ht="15.75" thickBot="1">
      <c r="A1087" s="219"/>
      <c r="B1087" s="219"/>
      <c r="C1087" s="219"/>
      <c r="D1087" s="219"/>
      <c r="E1087" s="219"/>
      <c r="F1087" s="219"/>
      <c r="G1087" s="219"/>
      <c r="H1087" s="219"/>
      <c r="I1087" s="219"/>
      <c r="J1087" s="219"/>
      <c r="K1087" s="219"/>
      <c r="L1087" s="219"/>
      <c r="M1087" s="219"/>
      <c r="N1087" s="219"/>
      <c r="O1087" s="219"/>
      <c r="P1087" s="219"/>
      <c r="Q1087" s="219"/>
      <c r="R1087" s="240"/>
      <c r="S1087" s="240"/>
      <c r="T1087" s="240"/>
      <c r="U1087" s="230"/>
      <c r="V1087" s="231"/>
      <c r="W1087" s="242"/>
      <c r="X1087" s="233"/>
      <c r="Y1087" s="219"/>
      <c r="Z1087" s="219"/>
    </row>
    <row r="1088" spans="1:26" ht="15.75" thickBot="1">
      <c r="A1088" s="219"/>
      <c r="B1088" s="219"/>
      <c r="C1088" s="219"/>
      <c r="D1088" s="219"/>
      <c r="E1088" s="219"/>
      <c r="F1088" s="219"/>
      <c r="G1088" s="219"/>
      <c r="H1088" s="219"/>
      <c r="I1088" s="219"/>
      <c r="J1088" s="219"/>
      <c r="K1088" s="219"/>
      <c r="L1088" s="219"/>
      <c r="M1088" s="219"/>
      <c r="N1088" s="219"/>
      <c r="O1088" s="219"/>
      <c r="P1088" s="219"/>
      <c r="Q1088" s="219"/>
      <c r="R1088" s="240"/>
      <c r="S1088" s="240"/>
      <c r="T1088" s="240"/>
      <c r="U1088" s="230"/>
      <c r="V1088" s="231"/>
      <c r="W1088" s="242"/>
      <c r="X1088" s="233"/>
      <c r="Y1088" s="219"/>
      <c r="Z1088" s="219"/>
    </row>
    <row r="1089" spans="1:26" ht="15.75" thickBot="1">
      <c r="A1089" s="219"/>
      <c r="B1089" s="219"/>
      <c r="C1089" s="219"/>
      <c r="D1089" s="219"/>
      <c r="E1089" s="219"/>
      <c r="F1089" s="219"/>
      <c r="G1089" s="219"/>
      <c r="H1089" s="219"/>
      <c r="I1089" s="219"/>
      <c r="J1089" s="219"/>
      <c r="K1089" s="219"/>
      <c r="L1089" s="219"/>
      <c r="M1089" s="219"/>
      <c r="N1089" s="219"/>
      <c r="O1089" s="219"/>
      <c r="P1089" s="219"/>
      <c r="Q1089" s="219"/>
      <c r="R1089" s="240"/>
      <c r="S1089" s="240"/>
      <c r="T1089" s="240"/>
      <c r="U1089" s="230"/>
      <c r="V1089" s="231"/>
      <c r="W1089" s="242"/>
      <c r="X1089" s="233"/>
      <c r="Y1089" s="219"/>
      <c r="Z1089" s="219"/>
    </row>
    <row r="1090" spans="1:26" ht="15.75" thickBot="1">
      <c r="A1090" s="219"/>
      <c r="B1090" s="219"/>
      <c r="C1090" s="219"/>
      <c r="D1090" s="219"/>
      <c r="E1090" s="219"/>
      <c r="F1090" s="219"/>
      <c r="G1090" s="219"/>
      <c r="H1090" s="219"/>
      <c r="I1090" s="219"/>
      <c r="J1090" s="219"/>
      <c r="K1090" s="219"/>
      <c r="L1090" s="219"/>
      <c r="M1090" s="219"/>
      <c r="N1090" s="219"/>
      <c r="O1090" s="219"/>
      <c r="P1090" s="219"/>
      <c r="Q1090" s="219"/>
      <c r="R1090" s="240"/>
      <c r="S1090" s="240"/>
      <c r="T1090" s="240"/>
      <c r="U1090" s="230"/>
      <c r="V1090" s="231"/>
      <c r="W1090" s="242"/>
      <c r="X1090" s="233"/>
      <c r="Y1090" s="219"/>
      <c r="Z1090" s="219"/>
    </row>
    <row r="1091" spans="1:26" ht="15.75" thickBot="1">
      <c r="A1091" s="219"/>
      <c r="B1091" s="219"/>
      <c r="C1091" s="219"/>
      <c r="D1091" s="219"/>
      <c r="E1091" s="219"/>
      <c r="F1091" s="219"/>
      <c r="G1091" s="219"/>
      <c r="H1091" s="219"/>
      <c r="I1091" s="219"/>
      <c r="J1091" s="219"/>
      <c r="K1091" s="219"/>
      <c r="L1091" s="219"/>
      <c r="M1091" s="219"/>
      <c r="N1091" s="219"/>
      <c r="O1091" s="219"/>
      <c r="P1091" s="219"/>
      <c r="Q1091" s="219"/>
      <c r="R1091" s="240"/>
      <c r="S1091" s="240"/>
      <c r="T1091" s="240"/>
      <c r="U1091" s="230"/>
      <c r="V1091" s="231"/>
      <c r="W1091" s="242"/>
      <c r="X1091" s="233"/>
      <c r="Y1091" s="219"/>
      <c r="Z1091" s="219"/>
    </row>
    <row r="1092" spans="1:26" ht="15.75" thickBot="1">
      <c r="A1092" s="219"/>
      <c r="B1092" s="219"/>
      <c r="C1092" s="219"/>
      <c r="D1092" s="219"/>
      <c r="E1092" s="219"/>
      <c r="F1092" s="219"/>
      <c r="G1092" s="219"/>
      <c r="H1092" s="219"/>
      <c r="I1092" s="219"/>
      <c r="J1092" s="219"/>
      <c r="K1092" s="219"/>
      <c r="L1092" s="219"/>
      <c r="M1092" s="219"/>
      <c r="N1092" s="219"/>
      <c r="O1092" s="219"/>
      <c r="P1092" s="219"/>
      <c r="Q1092" s="219"/>
      <c r="R1092" s="240"/>
      <c r="S1092" s="240"/>
      <c r="T1092" s="240"/>
      <c r="U1092" s="230"/>
      <c r="V1092" s="231"/>
      <c r="W1092" s="242"/>
      <c r="X1092" s="233"/>
      <c r="Y1092" s="219"/>
      <c r="Z1092" s="219"/>
    </row>
    <row r="1093" spans="1:26" ht="15.75" thickBot="1">
      <c r="A1093" s="219"/>
      <c r="B1093" s="219"/>
      <c r="C1093" s="219"/>
      <c r="D1093" s="219"/>
      <c r="E1093" s="219"/>
      <c r="F1093" s="219"/>
      <c r="G1093" s="219"/>
      <c r="H1093" s="219"/>
      <c r="I1093" s="219"/>
      <c r="J1093" s="219"/>
      <c r="K1093" s="219"/>
      <c r="L1093" s="219"/>
      <c r="M1093" s="219"/>
      <c r="N1093" s="219"/>
      <c r="O1093" s="219"/>
      <c r="P1093" s="219"/>
      <c r="Q1093" s="219"/>
      <c r="R1093" s="240"/>
      <c r="S1093" s="240"/>
      <c r="T1093" s="240"/>
      <c r="U1093" s="230"/>
      <c r="V1093" s="231"/>
      <c r="W1093" s="242"/>
      <c r="X1093" s="233"/>
      <c r="Y1093" s="219"/>
      <c r="Z1093" s="219"/>
    </row>
    <row r="1094" spans="1:26" ht="15.75" thickBot="1">
      <c r="A1094" s="219"/>
      <c r="B1094" s="219"/>
      <c r="C1094" s="219"/>
      <c r="D1094" s="219"/>
      <c r="E1094" s="219"/>
      <c r="F1094" s="219"/>
      <c r="G1094" s="219"/>
      <c r="H1094" s="219"/>
      <c r="I1094" s="219"/>
      <c r="J1094" s="219"/>
      <c r="K1094" s="219"/>
      <c r="L1094" s="219"/>
      <c r="M1094" s="219"/>
      <c r="N1094" s="219"/>
      <c r="O1094" s="219"/>
      <c r="P1094" s="219"/>
      <c r="Q1094" s="219"/>
      <c r="R1094" s="240"/>
      <c r="S1094" s="240"/>
      <c r="T1094" s="240"/>
      <c r="U1094" s="230"/>
      <c r="V1094" s="231"/>
      <c r="W1094" s="242"/>
      <c r="X1094" s="233"/>
      <c r="Y1094" s="219"/>
      <c r="Z1094" s="219"/>
    </row>
    <row r="1095" spans="1:26" ht="15.75" thickBot="1">
      <c r="A1095" s="219"/>
      <c r="B1095" s="219"/>
      <c r="C1095" s="219"/>
      <c r="D1095" s="219"/>
      <c r="E1095" s="219"/>
      <c r="F1095" s="219"/>
      <c r="G1095" s="219"/>
      <c r="H1095" s="219"/>
      <c r="I1095" s="219"/>
      <c r="J1095" s="219"/>
      <c r="K1095" s="219"/>
      <c r="L1095" s="219"/>
      <c r="M1095" s="219"/>
      <c r="N1095" s="219"/>
      <c r="O1095" s="219"/>
      <c r="P1095" s="219"/>
      <c r="Q1095" s="219"/>
      <c r="R1095" s="240"/>
      <c r="S1095" s="240"/>
      <c r="T1095" s="240"/>
      <c r="U1095" s="230"/>
      <c r="V1095" s="231"/>
      <c r="W1095" s="242"/>
      <c r="X1095" s="233"/>
      <c r="Y1095" s="219"/>
      <c r="Z1095" s="219"/>
    </row>
    <row r="1096" spans="1:26" ht="15.75" thickBot="1">
      <c r="A1096" s="219"/>
      <c r="B1096" s="219"/>
      <c r="C1096" s="219"/>
      <c r="D1096" s="219"/>
      <c r="E1096" s="219"/>
      <c r="F1096" s="219"/>
      <c r="G1096" s="219"/>
      <c r="H1096" s="219"/>
      <c r="I1096" s="219"/>
      <c r="J1096" s="219"/>
      <c r="K1096" s="219"/>
      <c r="L1096" s="219"/>
      <c r="M1096" s="219"/>
      <c r="N1096" s="219"/>
      <c r="O1096" s="219"/>
      <c r="P1096" s="219"/>
      <c r="Q1096" s="219"/>
      <c r="R1096" s="240"/>
      <c r="S1096" s="240"/>
      <c r="T1096" s="240"/>
      <c r="U1096" s="230"/>
      <c r="V1096" s="231"/>
      <c r="W1096" s="242"/>
      <c r="X1096" s="233"/>
      <c r="Y1096" s="219"/>
      <c r="Z1096" s="219"/>
    </row>
    <row r="1097" spans="1:26" ht="15.75" thickBot="1">
      <c r="A1097" s="219"/>
      <c r="B1097" s="219"/>
      <c r="C1097" s="219"/>
      <c r="D1097" s="219"/>
      <c r="E1097" s="219"/>
      <c r="F1097" s="219"/>
      <c r="G1097" s="219"/>
      <c r="H1097" s="219"/>
      <c r="I1097" s="219"/>
      <c r="J1097" s="219"/>
      <c r="K1097" s="219"/>
      <c r="L1097" s="219"/>
      <c r="M1097" s="219"/>
      <c r="N1097" s="219"/>
      <c r="O1097" s="219"/>
      <c r="P1097" s="219"/>
      <c r="Q1097" s="219"/>
      <c r="R1097" s="240"/>
      <c r="S1097" s="240"/>
      <c r="T1097" s="240"/>
      <c r="U1097" s="230"/>
      <c r="V1097" s="231"/>
      <c r="W1097" s="242"/>
      <c r="X1097" s="233"/>
      <c r="Y1097" s="219"/>
      <c r="Z1097" s="219"/>
    </row>
    <row r="1098" spans="1:26" ht="15.75" thickBot="1">
      <c r="A1098" s="219"/>
      <c r="B1098" s="219"/>
      <c r="C1098" s="219"/>
      <c r="D1098" s="219"/>
      <c r="E1098" s="219"/>
      <c r="F1098" s="219"/>
      <c r="G1098" s="219"/>
      <c r="H1098" s="219"/>
      <c r="I1098" s="219"/>
      <c r="J1098" s="219"/>
      <c r="K1098" s="219"/>
      <c r="L1098" s="219"/>
      <c r="M1098" s="219"/>
      <c r="N1098" s="219"/>
      <c r="O1098" s="219"/>
      <c r="P1098" s="219"/>
      <c r="Q1098" s="219"/>
      <c r="R1098" s="240"/>
      <c r="S1098" s="240"/>
      <c r="T1098" s="240"/>
      <c r="U1098" s="230"/>
      <c r="V1098" s="231"/>
      <c r="W1098" s="242"/>
      <c r="X1098" s="233"/>
      <c r="Y1098" s="219"/>
      <c r="Z1098" s="219"/>
    </row>
    <row r="1099" spans="1:26" ht="15.75" thickBot="1">
      <c r="A1099" s="219"/>
      <c r="B1099" s="219"/>
      <c r="C1099" s="219"/>
      <c r="D1099" s="219"/>
      <c r="E1099" s="219"/>
      <c r="F1099" s="219"/>
      <c r="G1099" s="219"/>
      <c r="H1099" s="219"/>
      <c r="I1099" s="219"/>
      <c r="J1099" s="219"/>
      <c r="K1099" s="219"/>
      <c r="L1099" s="219"/>
      <c r="M1099" s="219"/>
      <c r="N1099" s="219"/>
      <c r="O1099" s="219"/>
      <c r="P1099" s="219"/>
      <c r="Q1099" s="219"/>
      <c r="R1099" s="240"/>
      <c r="S1099" s="240"/>
      <c r="T1099" s="240"/>
      <c r="U1099" s="230"/>
      <c r="V1099" s="231"/>
      <c r="W1099" s="242"/>
      <c r="X1099" s="233"/>
      <c r="Y1099" s="219"/>
      <c r="Z1099" s="219"/>
    </row>
    <row r="1100" spans="1:26" ht="15.75" thickBot="1">
      <c r="A1100" s="219"/>
      <c r="B1100" s="219"/>
      <c r="C1100" s="219"/>
      <c r="D1100" s="219"/>
      <c r="E1100" s="219"/>
      <c r="F1100" s="219"/>
      <c r="G1100" s="219"/>
      <c r="H1100" s="219"/>
      <c r="I1100" s="219"/>
      <c r="J1100" s="219"/>
      <c r="K1100" s="219"/>
      <c r="L1100" s="219"/>
      <c r="M1100" s="219"/>
      <c r="N1100" s="219"/>
      <c r="O1100" s="219"/>
      <c r="P1100" s="219"/>
      <c r="Q1100" s="219"/>
      <c r="R1100" s="240"/>
      <c r="S1100" s="240"/>
      <c r="T1100" s="240"/>
      <c r="U1100" s="230"/>
      <c r="V1100" s="231"/>
      <c r="W1100" s="242"/>
      <c r="X1100" s="233"/>
      <c r="Y1100" s="219"/>
      <c r="Z1100" s="219"/>
    </row>
    <row r="1101" spans="1:26" ht="15.75" thickBot="1">
      <c r="A1101" s="219"/>
      <c r="B1101" s="219"/>
      <c r="C1101" s="219"/>
      <c r="D1101" s="219"/>
      <c r="E1101" s="219"/>
      <c r="F1101" s="219"/>
      <c r="G1101" s="219"/>
      <c r="H1101" s="219"/>
      <c r="I1101" s="219"/>
      <c r="J1101" s="219"/>
      <c r="K1101" s="219"/>
      <c r="L1101" s="219"/>
      <c r="M1101" s="219"/>
      <c r="N1101" s="219"/>
      <c r="O1101" s="219"/>
      <c r="P1101" s="219"/>
      <c r="Q1101" s="219"/>
      <c r="R1101" s="240"/>
      <c r="S1101" s="240"/>
      <c r="T1101" s="240"/>
      <c r="U1101" s="230"/>
      <c r="V1101" s="231"/>
      <c r="W1101" s="242"/>
      <c r="X1101" s="233"/>
      <c r="Y1101" s="219"/>
      <c r="Z1101" s="219"/>
    </row>
    <row r="1102" spans="1:26" ht="15.75" thickBot="1">
      <c r="A1102" s="219"/>
      <c r="B1102" s="219"/>
      <c r="C1102" s="219"/>
      <c r="D1102" s="219"/>
      <c r="E1102" s="219"/>
      <c r="F1102" s="219"/>
      <c r="G1102" s="219"/>
      <c r="H1102" s="219"/>
      <c r="I1102" s="219"/>
      <c r="J1102" s="219"/>
      <c r="K1102" s="219"/>
      <c r="L1102" s="219"/>
      <c r="M1102" s="219"/>
      <c r="N1102" s="219"/>
      <c r="O1102" s="219"/>
      <c r="P1102" s="219"/>
      <c r="Q1102" s="219"/>
      <c r="R1102" s="240"/>
      <c r="S1102" s="240"/>
      <c r="T1102" s="240"/>
      <c r="U1102" s="230"/>
      <c r="V1102" s="231"/>
      <c r="W1102" s="242"/>
      <c r="X1102" s="233"/>
      <c r="Y1102" s="219"/>
      <c r="Z1102" s="219"/>
    </row>
  </sheetData>
  <autoFilter ref="P333:P341" xr:uid="{2893DB26-524D-4436-A026-8A1E6417FA7E}"/>
  <hyperlinks>
    <hyperlink ref="B1" location="rangeid=2086300674" display="rangeid=2086300674" xr:uid="{DDB29498-9416-4EF5-A9E5-D15656CBD966}"/>
    <hyperlink ref="C1" location="rangeid=632369931" display="rangeid=632369931" xr:uid="{1AEC8155-D52A-42AA-8A96-78BF93CFB203}"/>
    <hyperlink ref="H1" location="rangeid=906849400" display="rangeid=906849400" xr:uid="{AAA59C8D-64C4-4F1A-87C5-8841B0D43190}"/>
    <hyperlink ref="W1" location="rangeid=120001109" display="rangeid=120001109" xr:uid="{40799C49-E7EA-46F5-9D83-90487ABB2D83}"/>
    <hyperlink ref="F2" r:id="rId1" display="https://www.youtube.com/watch?v=RD7JpM4UrUA" xr:uid="{A8C81F70-3F1E-49AF-952A-34B1A69EB826}"/>
    <hyperlink ref="F3" r:id="rId2" display="https://www.youtube.com/watch?v=jKuCWHsoXmQ" xr:uid="{FC5A67BA-5A2B-43C9-89ED-552277778471}"/>
    <hyperlink ref="F4" r:id="rId3" display="https://www.youtube.com/watch?v=21ZKFBL-Yc0" xr:uid="{D1FA3E1D-6CD0-4B38-AF1C-C91057328EE9}"/>
    <hyperlink ref="F5" r:id="rId4" display="https://www.youtube.com/watch?v=FytdS2vMJfU" xr:uid="{EADBB63C-7BFC-4658-B008-5EBEEB891C73}"/>
    <hyperlink ref="F6" r:id="rId5" display="https://www.youtube.com/watch?v=7WsGnkGob7A" xr:uid="{F9D568DB-DE60-4BF4-940F-AB0069D16B82}"/>
    <hyperlink ref="F7" r:id="rId6" display="https://www.youtube.com/watch?v=WU456HIXN5U" xr:uid="{B952D8E8-2E5E-4057-9C47-2F5204BEEDBD}"/>
    <hyperlink ref="F8" r:id="rId7" display="https://www.youtube.com/watch?v=PcNDlU0LyJk" xr:uid="{DF1328AA-1BC0-4419-AA2E-A96589C87C01}"/>
    <hyperlink ref="F9" r:id="rId8" display="https://www.youtube.com/watch?v=mjFek0gF97s" xr:uid="{0C6ACE1F-32DE-43AC-B20B-792440EA391A}"/>
    <hyperlink ref="Q10" r:id="rId9" xr:uid="{CF674ABC-2DF3-4C72-8EC3-1E2A29FB2FEF}"/>
    <hyperlink ref="F11" r:id="rId10" display="https://www.youtube.com/watch?v=0_EJXPWJN4E" xr:uid="{6E78658D-B600-462E-9F2E-645504E2A2E4}"/>
    <hyperlink ref="F12" r:id="rId11" display="https://www.youtube.com/watch?v=Kxuiy8OL30w" xr:uid="{58B40829-CBAB-4A36-8B24-B7B45ED828B7}"/>
    <hyperlink ref="Q13" r:id="rId12" xr:uid="{F6163AF0-139F-4515-82A0-68B961371A9B}"/>
    <hyperlink ref="F14" r:id="rId13" display="https://www.youtube.com/watch?v=jMgGGixmfus" xr:uid="{6C1EF345-5B85-4957-8A00-EB0ED9C49627}"/>
    <hyperlink ref="F15" r:id="rId14" display="https://www.youtube.com/watch?v=2UnJMns3fjs" xr:uid="{23904171-9124-41B9-A59D-684BA491CD31}"/>
    <hyperlink ref="F16" r:id="rId15" display="https://www.youtube.com/watch?v=KVDRl_wLqdM" xr:uid="{2967E2B0-DDAA-4209-B46D-9776267AD1FE}"/>
    <hyperlink ref="F17" r:id="rId16" display="https://www.youtube.com/watch?v=Smd_3o5vtLo" xr:uid="{9649F448-9194-4C92-97EF-78B19C4F5B73}"/>
    <hyperlink ref="F18" r:id="rId17" display="https://www.youtube.com/watch?v=iBwpK4_JtEw" xr:uid="{7B69F2D2-3D12-423D-A597-7D27AA1E25A9}"/>
    <hyperlink ref="F19" r:id="rId18" display="https://www.youtube.com/watch?v=NCOKqHoIW7M" xr:uid="{8895653D-ACB7-4407-9AD5-E02732A9CF10}"/>
    <hyperlink ref="F20" r:id="rId19" display="https://www.youtube.com/watch?v=tkF_3Ixn02I" xr:uid="{ECA8F635-D1C2-42E2-A9D8-F78677A96BF6}"/>
    <hyperlink ref="F21" r:id="rId20" display="https://www.youtube.com/watch?v=0Y3z-QStbk8" xr:uid="{4420C513-9B4A-450C-8C66-532FEE909D7C}"/>
    <hyperlink ref="F22" r:id="rId21" display="https://www.youtube.com/watch?v=Wpkt3HpzBTs" xr:uid="{39B7BD10-F89A-48CF-A9D0-4FDBC8AEE822}"/>
    <hyperlink ref="F23" r:id="rId22" display="https://www.youtube.com/watch?v=_IcfDP-ezpo" xr:uid="{0B9082BE-D0EC-4F4C-93F6-CD01BA5BB87A}"/>
    <hyperlink ref="Q24" r:id="rId23" xr:uid="{3B46C62B-69F9-4072-8155-7FB0A8A2E93F}"/>
    <hyperlink ref="Q25" r:id="rId24" xr:uid="{3A0F5117-E8E0-4882-BD64-11931F207882}"/>
    <hyperlink ref="Q26" r:id="rId25" xr:uid="{499E99F2-EDC9-48A8-BCC4-EA631CE54530}"/>
    <hyperlink ref="F27" r:id="rId26" display="https://www.youtube.com/watch?v=DMG2XD9_nTI" xr:uid="{DAB559B9-CFD0-4905-BAF6-8D3246D9405A}"/>
    <hyperlink ref="F28" r:id="rId27" display="https://www.youtube.com/watch?v=Uq2PJjcHiqI" xr:uid="{DC311DAF-61AC-44B2-A898-93B42AB7F2CC}"/>
    <hyperlink ref="Q29" r:id="rId28" xr:uid="{5F2717E0-71B3-4013-9DAB-5C83A096D754}"/>
    <hyperlink ref="Q30" r:id="rId29" xr:uid="{AA46238E-A250-42B4-AB6C-2386F5A29943}"/>
    <hyperlink ref="Q31" r:id="rId30" xr:uid="{4D3FFC6A-E1AE-4019-9254-0AA4DB9D0A8D}"/>
    <hyperlink ref="Q32" r:id="rId31" xr:uid="{B046F45C-5F7B-4A72-A8FD-F2DBEFD0ADEE}"/>
    <hyperlink ref="Q33" r:id="rId32" xr:uid="{D0F8CBE1-77E8-49FA-9D60-0B0B942B26B4}"/>
    <hyperlink ref="Q34" r:id="rId33" xr:uid="{7FE9913E-429B-43AF-ADCF-9BFF33D7BDCF}"/>
    <hyperlink ref="F35" r:id="rId34" display="https://www.youtube.com/watch?v=5LJPOCxc3E8" xr:uid="{834D3121-475B-40E4-87F9-E9881730B96F}"/>
    <hyperlink ref="Q36" r:id="rId35" xr:uid="{86601540-C009-4BF6-8E2F-60CE76E28E53}"/>
    <hyperlink ref="Q37" r:id="rId36" xr:uid="{6EF1BA12-C8F6-4469-8787-220B05A5A644}"/>
    <hyperlink ref="Q38" r:id="rId37" xr:uid="{31AD12BA-7CD4-4DA2-BF7B-1B4CE67F97B7}"/>
    <hyperlink ref="F39" r:id="rId38" display="https://www.youtube.com/watch?v=LdrmgXtd_rs" xr:uid="{A871C7BD-9F92-41AD-9A96-CB60F7597AF1}"/>
    <hyperlink ref="Q40" r:id="rId39" xr:uid="{2FA6C7A8-3121-4131-B80C-A6F07BECD660}"/>
    <hyperlink ref="Q41" r:id="rId40" xr:uid="{21B7AB6E-0F64-4FEF-8CCB-3EBECA16C11C}"/>
    <hyperlink ref="Q42" r:id="rId41" xr:uid="{8041AC67-C422-42A6-85B8-4809525E48D6}"/>
    <hyperlink ref="Q43" r:id="rId42" xr:uid="{2C30B226-66D7-4B63-A432-9D9FB75EA0F3}"/>
    <hyperlink ref="F44" r:id="rId43" display="https://www.youtube.com/watch?v=gbWoqwJKhbM" xr:uid="{C63973EA-F899-4331-930E-F9B18D1317C9}"/>
    <hyperlink ref="Q45" r:id="rId44" xr:uid="{76420C62-D5AE-4AB3-8C36-4DA18D6EC5F7}"/>
    <hyperlink ref="F46" r:id="rId45" display="https://www.youtube.com/watch?v=RdBz1kIwrqo" xr:uid="{01B21CEE-319F-491F-BB85-28C373BC24E5}"/>
    <hyperlink ref="Q47" r:id="rId46" xr:uid="{A07B6886-2A5B-40DE-8D46-9C1E107AEAE3}"/>
    <hyperlink ref="Q48" r:id="rId47" xr:uid="{6C77A043-D122-4588-9217-D2BA9A3BBC1B}"/>
    <hyperlink ref="Q49" r:id="rId48" xr:uid="{BC49AE35-2EC9-4A9F-8FF6-C1D26D6925FF}"/>
    <hyperlink ref="F50" r:id="rId49" display="https://www.youtube.com/watch?v=WsjxXfklatk" xr:uid="{66A4906F-9C4B-4F78-9F54-8253CC89917D}"/>
    <hyperlink ref="F51" r:id="rId50" display="https://www.youtube.com/watch?v=N0PD3TuLvoo" xr:uid="{0967391F-A06B-42CF-A5BE-D665AD5DE23F}"/>
    <hyperlink ref="Q52" r:id="rId51" xr:uid="{1DBB970F-A9E0-4A33-B494-E40DA0BA3230}"/>
    <hyperlink ref="Q53" r:id="rId52" xr:uid="{AAEF018C-DF73-42F9-9697-160F66D54409}"/>
    <hyperlink ref="Q54" r:id="rId53" xr:uid="{DAC42848-84F7-4EE7-A914-98AD5DF0FAEF}"/>
    <hyperlink ref="Q55" r:id="rId54" xr:uid="{4372936C-C660-4A18-B4CF-13D77AF54469}"/>
    <hyperlink ref="F56" r:id="rId55" display="https://www.youtube.com/watch?v=C3_6Ub1GnfA" xr:uid="{254B4F1B-9D2F-460C-B12B-2ECE35ACC134}"/>
    <hyperlink ref="Q57" r:id="rId56" xr:uid="{16516F91-904B-4AB2-A369-504E1E5B41E2}"/>
    <hyperlink ref="Q58" r:id="rId57" xr:uid="{4BC49846-9499-47C4-8CB0-56E4AB09533E}"/>
    <hyperlink ref="Q59" r:id="rId58" xr:uid="{C7C42FF5-2BE0-4CA8-AEC7-20D3F825B6E4}"/>
    <hyperlink ref="Q60" r:id="rId59" xr:uid="{9C31C8CC-DAD3-421C-846E-5DF91E7D7F99}"/>
    <hyperlink ref="Q61" r:id="rId60" xr:uid="{C1D944E4-5AF9-4F25-9DBE-69ECD47A818C}"/>
    <hyperlink ref="F62" r:id="rId61" display="https://www.youtube.com/watch?v=dp7l5qmLHJI" xr:uid="{A8757E98-C1AA-4C10-B9DC-083FAEA1B724}"/>
    <hyperlink ref="F63" r:id="rId62" display="https://www.youtube.com/watch?v=elqL0Sr_sVU" xr:uid="{945752C9-D0CE-413E-9D7F-1DB711D1C9AB}"/>
    <hyperlink ref="F64" r:id="rId63" display="https://www.youtube.com/watch?v=ryQMb29oX3s" xr:uid="{E5F642A7-8AF4-4DAE-999D-79311A6736CB}"/>
    <hyperlink ref="F65" r:id="rId64" display="https://www.youtube.com/watch?v=BEz8X5SUwjY" xr:uid="{1F0E51F3-662B-498C-BAA1-269DCD699132}"/>
    <hyperlink ref="Q66" r:id="rId65" xr:uid="{E8C2247B-86F4-4731-B84D-124DF37569ED}"/>
    <hyperlink ref="Q67" r:id="rId66" xr:uid="{430FE2E5-6D97-418D-A57B-9770300CC14C}"/>
    <hyperlink ref="F68" r:id="rId67" display="https://www.youtube.com/watch?v=lzMEDrUFlpw" xr:uid="{A56A9C16-18F6-4E17-9172-328FC8510C8D}"/>
    <hyperlink ref="Q69" r:id="rId68" xr:uid="{7031971B-7EEC-4835-B76E-0F67807D5F15}"/>
    <hyperlink ref="Q70" r:id="rId69" xr:uid="{2AABBAB1-7CB7-4AF9-BA52-C7E4B5E45A8E}"/>
    <hyperlink ref="Q71" r:id="rId70" xr:uid="{F0C105E0-F148-4BDC-838E-1491C26E3517}"/>
    <hyperlink ref="F72" r:id="rId71" display="https://www.youtube.com/watch?v=qCG2vqnaUx4" xr:uid="{2050F615-872C-40C8-8B3B-0DB2BBC78AAF}"/>
    <hyperlink ref="Q73" r:id="rId72" xr:uid="{92A8C872-53B6-4E96-9A15-741815FFEDE6}"/>
    <hyperlink ref="Q74" r:id="rId73" xr:uid="{DD67DE55-6873-47C0-8588-45225AB71811}"/>
    <hyperlink ref="F75" r:id="rId74" display="https://www.youtube.com/watch?v=ycnvyB8pDEM" xr:uid="{955DF96F-1DDC-4112-9ED5-FF5FA3E9470B}"/>
    <hyperlink ref="Q76" r:id="rId75" xr:uid="{B9EC8FE5-40C7-44B9-9F12-696F18A7FEF1}"/>
    <hyperlink ref="Q77" r:id="rId76" xr:uid="{69B68A7F-1F1C-4DB7-8074-A7008815EECE}"/>
    <hyperlink ref="Q78" r:id="rId77" xr:uid="{37816728-7C90-420F-8637-8ACD2B7BE90F}"/>
    <hyperlink ref="Q79" r:id="rId78" xr:uid="{7854F291-2056-4076-B0CB-703EE1DC3C51}"/>
    <hyperlink ref="F80" r:id="rId79" display="https://www.youtube.com/watch?v=xANxZaCCD70" xr:uid="{84BE46F0-1A92-49B7-964B-9BCF8300FD04}"/>
    <hyperlink ref="Q81" r:id="rId80" xr:uid="{D740F470-6CF0-4AD9-9712-85C945027293}"/>
    <hyperlink ref="Q82" r:id="rId81" xr:uid="{4D831B5A-A885-4BA9-B69D-99DC8ACAFCBE}"/>
    <hyperlink ref="Q83" r:id="rId82" xr:uid="{B7010DD4-D6AC-444F-9426-062E1043DFF0}"/>
    <hyperlink ref="F84" r:id="rId83" display="https://www.youtube.com/watch?v=VeR7IhIkDk0" xr:uid="{74A36702-5F3B-4792-80A2-0839D1D9BA4D}"/>
    <hyperlink ref="F85" r:id="rId84" display="https://www.youtube.com/watch?v=iS7CE9mrtI4" xr:uid="{DE9FF72E-0359-4D2B-A6DC-F59567A4AC3F}"/>
    <hyperlink ref="F86" r:id="rId85" display="https://www.youtube.com/watch?v=THua8SMPtK4" xr:uid="{A4DE3290-047E-413B-8587-18C3928CE570}"/>
    <hyperlink ref="Q87" r:id="rId86" xr:uid="{BB34FBDA-E956-443A-A540-BACD63CCA7A7}"/>
    <hyperlink ref="F88" r:id="rId87" display="https://www.youtube.com/watch?v=6_9IYK6ZlyY" xr:uid="{E1CFF40A-4CAB-471C-88C8-F956209D64BE}"/>
    <hyperlink ref="Q89" r:id="rId88" xr:uid="{D63A36D1-1904-488C-8D0A-2FE448F4A735}"/>
    <hyperlink ref="Q90" r:id="rId89" xr:uid="{3FADAE60-1854-48A2-9DEE-2F0E707C46B6}"/>
    <hyperlink ref="Q91" r:id="rId90" xr:uid="{2CE78339-27CF-4145-AC35-6D117B1B1D13}"/>
    <hyperlink ref="Q92" r:id="rId91" xr:uid="{959830C6-67E7-4F41-A4C6-90E3CF8F77BA}"/>
    <hyperlink ref="F93" r:id="rId92" display="https://www.youtube.com/watch?v=LXrKKz7Mld8" xr:uid="{2618A4F0-C0D7-4A50-9797-0FE3F03343EB}"/>
    <hyperlink ref="Q94" r:id="rId93" xr:uid="{F0258A65-5331-43E7-B902-62E5DF3C8CE7}"/>
    <hyperlink ref="F95" r:id="rId94" display="https://www.youtube.com/watch?v=ufZ1BZcZzKI" xr:uid="{A34AB54B-C9B6-4CF6-92E8-CCED20675230}"/>
    <hyperlink ref="Q96" r:id="rId95" xr:uid="{81199B45-AB89-431A-A6F1-32F198339324}"/>
    <hyperlink ref="F97" r:id="rId96" display="https://www.youtube.com/watch?v=rNhQIKC2jPM" xr:uid="{C52FD804-B55B-4DC0-949C-C3B6C82856E7}"/>
    <hyperlink ref="Q98" r:id="rId97" xr:uid="{0C9238CA-E52C-4B84-B8FB-D37BCF859AC9}"/>
    <hyperlink ref="F99" r:id="rId98" display="https://www.youtube.com/watch?v=FndfcBhZklU" xr:uid="{19BAE542-FBB9-49F8-9B3C-FA9814DEFC14}"/>
    <hyperlink ref="Q100" r:id="rId99" xr:uid="{41CCFBFB-0D1F-46D9-86F3-8A5FB0EE0ABF}"/>
    <hyperlink ref="F101" r:id="rId100" display="https://www.youtube.com/watch?v=20u8yHim1tM" xr:uid="{C09C1008-7101-4F6F-B328-A312FC6AE3DB}"/>
    <hyperlink ref="Q102" r:id="rId101" xr:uid="{D8261077-04B8-4803-ACE1-401DD5AAB08A}"/>
    <hyperlink ref="F103" r:id="rId102" display="https://www.youtube.com/watch?v=K9s433rQloA" xr:uid="{C94FD0C1-BD88-4054-8847-69F7215A5F88}"/>
    <hyperlink ref="F104" r:id="rId103" display="https://www.youtube.com/watch?v=QEUeYDEFtsE" xr:uid="{7DAFE429-9133-440C-9F85-9264F75C335F}"/>
    <hyperlink ref="Q105" r:id="rId104" xr:uid="{C163FD62-5A68-4C47-B53C-544D1A1CA254}"/>
    <hyperlink ref="F106" r:id="rId105" display="https://www.youtube.com/watch?v=Yhp3rFuo5Cw" xr:uid="{FD10DD03-91CD-4446-A118-A2D80C87E69C}"/>
    <hyperlink ref="Q107" r:id="rId106" xr:uid="{7C58C956-4829-4B77-9891-E70566439CCA}"/>
    <hyperlink ref="Q108" r:id="rId107" xr:uid="{F9875399-45D3-476F-8BBB-0353FA601839}"/>
    <hyperlink ref="F109" r:id="rId108" display="https://www.youtube.com/watch?v=8qjQH_-WzyE" xr:uid="{3E44B501-EFB4-4227-AC32-20A907F0709C}"/>
    <hyperlink ref="Q110" r:id="rId109" xr:uid="{012D6CDE-3F86-4E19-81B0-AA5CA6BE6C22}"/>
    <hyperlink ref="Q111" r:id="rId110" xr:uid="{6658DA24-53AC-4A9B-96B1-05484AE01E2F}"/>
    <hyperlink ref="Q112" r:id="rId111" xr:uid="{B819E22F-A5E5-48B4-8C7E-DAFA61776EE2}"/>
    <hyperlink ref="Q113" r:id="rId112" xr:uid="{EF7ACD7D-D875-4E40-96BC-68DCC69D1C34}"/>
    <hyperlink ref="F114" r:id="rId113" display="https://www.youtube.com/watch?v=vHWsmGyjOk0" xr:uid="{0AA84F86-8A9F-422F-A517-2FC72DF47566}"/>
    <hyperlink ref="Q115" r:id="rId114" xr:uid="{91BB2262-EEE6-4FCB-9836-FAF6EF6FDF3E}"/>
    <hyperlink ref="F116" r:id="rId115" display="https://www.youtube.com/watch?v=-udb2VYB5uo" xr:uid="{E5443BEB-D27D-4A7D-9977-9C3C1C172B0B}"/>
    <hyperlink ref="Q117" r:id="rId116" xr:uid="{36BB68B8-25A8-4EDF-B565-2B911C0FD562}"/>
    <hyperlink ref="Q118" r:id="rId117" xr:uid="{7FDA7C79-3444-46D1-961F-21E1EA8CA1FA}"/>
    <hyperlink ref="F119" r:id="rId118" display="https://www.youtube.com/watch?v=f-MLHIb4dFU" xr:uid="{CEF7D787-E14C-4310-93FC-D42311113B71}"/>
    <hyperlink ref="Q120" r:id="rId119" xr:uid="{33CDE67B-2ECF-4998-BF73-D0B1991C4E19}"/>
    <hyperlink ref="Q121" r:id="rId120" xr:uid="{4893C3B3-790D-47C6-BD59-56E798218123}"/>
    <hyperlink ref="Q122" r:id="rId121" xr:uid="{6A9EC44B-0E6F-47AC-85BC-23CE5D1BD711}"/>
    <hyperlink ref="Q123" r:id="rId122" xr:uid="{9859D123-6C3B-41F9-8450-5A3E71CFC76F}"/>
    <hyperlink ref="F124" r:id="rId123" display="https://www.youtube.com/watch?v=m3jwqSSyVkg" xr:uid="{96804AE0-BE00-4837-816F-6B33A0A37528}"/>
    <hyperlink ref="F125" r:id="rId124" display="https://www.youtube.com/watch?v=QWaXqmcxm94" xr:uid="{EC2E855C-2E11-43B4-B6B7-6628483FBD26}"/>
    <hyperlink ref="F126" r:id="rId125" display="https://www.youtube.com/watch?v=JXjMYvGqqDE" xr:uid="{E823F076-93D0-49CD-B591-27563EBAB331}"/>
    <hyperlink ref="F127" r:id="rId126" display="https://www.youtube.com/watch?v=TGgYE0Ui0co" xr:uid="{F84FF250-25E4-4C81-AD7B-FAF7D2A7B2DB}"/>
    <hyperlink ref="F128" r:id="rId127" display="https://www.youtube.com/watch?v=xtHzknvaS7s" xr:uid="{1D3318EE-9A84-495E-9726-827A2209816C}"/>
    <hyperlink ref="F129" r:id="rId128" display="https://www.youtube.com/watch?v=ByaheAphduQ" xr:uid="{90A97A55-6E10-46B3-9662-4C2DAF0E99D5}"/>
    <hyperlink ref="Q130" r:id="rId129" xr:uid="{EE2D11C4-EF90-4857-85FF-5CB65DE08FB4}"/>
    <hyperlink ref="Q131" r:id="rId130" xr:uid="{956FF27B-C485-4394-B040-2BF22E014C96}"/>
    <hyperlink ref="Q132" r:id="rId131" xr:uid="{77543BC5-B542-489D-9BA9-03A2A51F67F0}"/>
    <hyperlink ref="Q133" r:id="rId132" xr:uid="{A645CCC2-9D98-465A-BF95-F08BE35B1115}"/>
    <hyperlink ref="Q134" r:id="rId133" xr:uid="{21F517E5-AD76-4FFD-B66B-9E7B71802B8D}"/>
    <hyperlink ref="Q135" r:id="rId134" xr:uid="{C5E45879-7451-45C1-B519-9A1DDBD0A275}"/>
    <hyperlink ref="Q136" r:id="rId135" xr:uid="{EAE1ABA4-A255-4B10-968F-D7E8B2596480}"/>
    <hyperlink ref="Q137" r:id="rId136" xr:uid="{7E1BB864-B1A4-465D-ABD8-CC2EB6A6037D}"/>
    <hyperlink ref="Q138" r:id="rId137" xr:uid="{6731D623-D628-4B95-A4C8-4CC4823C9091}"/>
    <hyperlink ref="Q139" r:id="rId138" xr:uid="{8EB194BC-E26D-4B23-8540-7CCD7F227D50}"/>
    <hyperlink ref="Q140" r:id="rId139" xr:uid="{16627640-2EB1-42F4-97B2-02288A1E9B52}"/>
    <hyperlink ref="Q141" r:id="rId140" xr:uid="{6BF3AE7E-71E9-4179-BD2D-24CF60B10BEE}"/>
    <hyperlink ref="Q142" r:id="rId141" xr:uid="{2907D1AD-52FE-4C44-954E-C4CC54018D30}"/>
    <hyperlink ref="Q143" r:id="rId142" xr:uid="{8F565278-3E7B-4F12-A6DC-C56F590DFEC6}"/>
    <hyperlink ref="F144" r:id="rId143" display="https://www.youtube.com/watch?v=sc4OOSLMiQQ" xr:uid="{259C5014-C79C-4AE6-9E16-3D0B5C296A49}"/>
    <hyperlink ref="F145" r:id="rId144" display="https://www.youtube.com/watch?v=QZxRsM9xvK4" xr:uid="{A8F359D8-0438-46CA-A016-58AD904B8EA6}"/>
    <hyperlink ref="F146" r:id="rId145" display="https://www.youtube.com/watch?v=s3LVHHEe2vc" xr:uid="{F2E74BB9-4926-45D3-8587-657A168F0DAB}"/>
    <hyperlink ref="Q147" r:id="rId146" xr:uid="{BE7553B8-E129-4A65-B4CF-EAA0305E2850}"/>
    <hyperlink ref="Q148" r:id="rId147" xr:uid="{76B5678C-4BB1-47DF-A779-823C978EA3B4}"/>
    <hyperlink ref="Q149" r:id="rId148" xr:uid="{92DA4831-1BB2-42BD-9E74-0D6CA346EB81}"/>
    <hyperlink ref="Q150" r:id="rId149" xr:uid="{C8C11C18-0A1F-4FC8-A8C3-4D92A7684ED9}"/>
    <hyperlink ref="Q151" r:id="rId150" xr:uid="{4DE9D5C9-FA96-44C5-8E17-AD559DD06406}"/>
    <hyperlink ref="Q152" r:id="rId151" xr:uid="{8BF17824-0E40-4BF5-8F4F-CA9DAA382F10}"/>
    <hyperlink ref="Q153" r:id="rId152" xr:uid="{935A2C52-DDCE-49E8-9CD2-CF186E09D5EE}"/>
    <hyperlink ref="F154" r:id="rId153" display="https://www.youtube.com/watch?v=-3rtVbNkNNQ" xr:uid="{0594E4A1-C385-4AA2-A5F8-A7C68551158B}"/>
    <hyperlink ref="F155" r:id="rId154" display="https://www.youtube.com/watch?v=ytrFjytVgtk" xr:uid="{634D3BD3-4FF8-451D-AFA0-B07EAC68F001}"/>
    <hyperlink ref="F156" r:id="rId155" display="https://www.youtube.com/watch?v=28dLjjiriJA" xr:uid="{86112135-EBCB-4BA6-B56C-41ACDA7521DB}"/>
    <hyperlink ref="F157" r:id="rId156" display="https://www.youtube.com/watch?v=mhHQNrL_bkM" xr:uid="{3C146333-11E5-435C-8B1C-1CE67BE56543}"/>
    <hyperlink ref="F158" r:id="rId157" display="https://www.youtube.com/watch?v=HZ6X5Xt1nS8" xr:uid="{FA6E2502-FAEF-49F9-A239-3C31DFDEFA17}"/>
    <hyperlink ref="F159" r:id="rId158" display="https://www.youtube.com/watch?v=IAmXafhUmYc" xr:uid="{4E9C31FC-D5B1-4E2F-B974-C791ABD5F941}"/>
    <hyperlink ref="F160" r:id="rId159" display="https://www.youtube.com/watch?v=M-zdPqtp9Kk" xr:uid="{0F07C37E-4939-4B3B-AC8F-9EE4FFD19898}"/>
    <hyperlink ref="F161" r:id="rId160" display="https://www.youtube.com/watch?v=J5mYtIH7Pho" xr:uid="{834558C2-4BF5-4A9F-B3B0-FC213703D381}"/>
    <hyperlink ref="F162" r:id="rId161" display="https://www.youtube.com/watch?v=OpsoPcAUMbw" xr:uid="{2DB33656-85D9-467F-BBD0-2DE9D761A0B8}"/>
    <hyperlink ref="F163" r:id="rId162" display="https://www.youtube.com/watch?v=MlTxtaiX1xI" xr:uid="{45AEA809-BAA5-4F3B-9E9B-E63B9D60E896}"/>
    <hyperlink ref="F164" r:id="rId163" display="https://www.youtube.com/watch?v=4yz6ZL-TC94" xr:uid="{88AFF010-F82D-46F6-8785-FA85C40D6A7B}"/>
    <hyperlink ref="F165" r:id="rId164" display="https://www.youtube.com/watch?v=YFmL65VsWdk" xr:uid="{057C4685-2FB3-4C26-B9D8-C957FFB87B0D}"/>
    <hyperlink ref="Q166" r:id="rId165" xr:uid="{703D7DDC-4F0D-4F54-ADEA-1A60D94A3857}"/>
    <hyperlink ref="Q167" r:id="rId166" xr:uid="{1A049108-8338-48E2-96DF-91CC0DA02837}"/>
    <hyperlink ref="Q168" r:id="rId167" xr:uid="{F2946B84-C890-4A54-8A2F-1DB1C7380633}"/>
    <hyperlink ref="Q169" r:id="rId168" xr:uid="{9200706B-F95B-4DC2-8634-FDCD61A1C918}"/>
    <hyperlink ref="Q170" r:id="rId169" xr:uid="{DCC27C1E-B304-4BF0-B972-956281CF5339}"/>
    <hyperlink ref="Q171" r:id="rId170" xr:uid="{60169905-5890-42D2-B523-6400E82B5EB8}"/>
    <hyperlink ref="Q172" r:id="rId171" xr:uid="{110C657D-8ABE-4502-AC9A-A0830BB7C4C0}"/>
    <hyperlink ref="Q173" r:id="rId172" xr:uid="{A801611A-5D57-48F1-A81C-2E61828A73E5}"/>
    <hyperlink ref="Q174" r:id="rId173" xr:uid="{250AA624-81BB-4057-B43D-73C5ECCA6BFB}"/>
    <hyperlink ref="Q175" r:id="rId174" xr:uid="{8C40296C-F1EE-4149-9F49-C52A1D058D4C}"/>
    <hyperlink ref="Q176" r:id="rId175" xr:uid="{D1A2F26C-F9E2-49BC-A7DE-A35C219FCBC4}"/>
    <hyperlink ref="F177" r:id="rId176" display="https://www.youtube.com/watch?v=29-xoooHPaw" xr:uid="{8B1C0F6C-7457-4F14-9597-8E77C632DC61}"/>
    <hyperlink ref="F178" r:id="rId177" display="https://www.youtube.com/watch?v=y1fdkGgCt64" xr:uid="{F727AC37-774E-48CD-8F71-D9F41A4BC881}"/>
    <hyperlink ref="F179" r:id="rId178" display="https://www.youtube.com/watch?v=FNqQxPkLmPI" xr:uid="{225833DA-39A4-40F9-9D16-5E5181C1C35E}"/>
    <hyperlink ref="F180" r:id="rId179" display="https://www.youtube.com/watch?v=54lSHTtU68A" xr:uid="{90F14673-063F-48C6-A89A-82E0F977B090}"/>
    <hyperlink ref="F181" r:id="rId180" display="https://www.youtube.com/watch?v=uDANJcQm-So" xr:uid="{3FA4A9CF-04B8-47C7-8BC4-34066769507B}"/>
    <hyperlink ref="Q182" r:id="rId181" xr:uid="{207B17CA-B7C7-4053-9854-28D28421D5E6}"/>
    <hyperlink ref="F183" r:id="rId182" display="https://www.youtube.com/watch?v=aXm-YqwVmbs" xr:uid="{CA037A3F-9972-442D-8F67-84BAFD8C052A}"/>
    <hyperlink ref="F184" r:id="rId183" display="https://www.youtube.com/watch?v=4eM5V0OXNNU" xr:uid="{7763AE09-49D6-4772-B46B-BE31BEDC37A7}"/>
    <hyperlink ref="F185" r:id="rId184" display="https://www.youtube.com/watch?v=knJJGEYwaZw" xr:uid="{50D5FC28-AF61-4318-9901-3612427285D0}"/>
    <hyperlink ref="F186" r:id="rId185" display="https://www.youtube.com/watch?v=3pxgnl2fHZg" xr:uid="{A59D5C4C-EFB4-42D1-878A-29B021936490}"/>
    <hyperlink ref="F187" r:id="rId186" display="https://www.youtube.com/watch?v=TEUt7CVuFbI" xr:uid="{510BA44A-F245-4002-A908-2C9A8C961219}"/>
    <hyperlink ref="F188" r:id="rId187" display="https://www.youtube.com/watch?v=z1wT-GurohQ" xr:uid="{C5370E81-8BE0-48A9-B02F-B08371EEC814}"/>
    <hyperlink ref="F189" r:id="rId188" display="https://www.youtube.com/watch?v=f-XdG6v-RWk" xr:uid="{2ACBC306-253B-4EE1-8A4E-E1680477ED25}"/>
    <hyperlink ref="F190" r:id="rId189" display="https://www.youtube.com/watch?v=BcDC-Op1hJc" xr:uid="{38171306-17B5-4756-B86A-8C2CFA2D2D06}"/>
    <hyperlink ref="F191" r:id="rId190" display="https://www.youtube.com/watch?v=lXmhJr1LDyI" xr:uid="{A1719CEB-5F72-48EA-850E-EF09B0A3FF6E}"/>
    <hyperlink ref="F192" r:id="rId191" display="https://www.youtube.com/watch?v=Wrs0XEoFHAM" xr:uid="{053018FA-965D-4128-BCBD-A4ED0F7C6E8E}"/>
    <hyperlink ref="F193" r:id="rId192" display="https://www.youtube.com/watch?v=O0wEzvYOTJw" xr:uid="{E769F876-A0CF-46CC-82C4-23BB507F3753}"/>
    <hyperlink ref="F194" r:id="rId193" display="https://www.youtube.com/watch?v=G3NpQQMh8jQ" xr:uid="{AB9BA1AA-6AFC-48E3-8D1F-299544CD9526}"/>
    <hyperlink ref="Q195" r:id="rId194" xr:uid="{B6338180-1F8B-4F87-A8D9-505F680E7A45}"/>
    <hyperlink ref="Q196" r:id="rId195" xr:uid="{640174E6-2FCE-4CF0-96DF-2E038A32B389}"/>
    <hyperlink ref="Q197" r:id="rId196" xr:uid="{F5FA410B-473E-4974-BB49-02BA8331BD8B}"/>
    <hyperlink ref="Q198" r:id="rId197" xr:uid="{EA5207A2-DBA2-46F1-BA5C-094C90C2013E}"/>
    <hyperlink ref="Q199" r:id="rId198" xr:uid="{16591B84-847D-41A9-AD5D-F7AFEE96300C}"/>
    <hyperlink ref="Q200" r:id="rId199" xr:uid="{09CF3389-859D-4A4C-B240-F7F4D6159EB7}"/>
    <hyperlink ref="Q201" r:id="rId200" xr:uid="{86D7940D-880D-4D9A-AC6B-1B8C361942DA}"/>
    <hyperlink ref="F202" r:id="rId201" display="https://www.youtube.com/watch?v=VP5gPVW3XDM" xr:uid="{5BE19495-0E6F-4783-94CC-5C7CE40C62A3}"/>
    <hyperlink ref="F203" r:id="rId202" display="https://www.youtube.com/watch?v=0uPW7Jf9y7o" xr:uid="{48F710FC-588A-4D65-B73B-9866B2ABAEE2}"/>
    <hyperlink ref="F204" r:id="rId203" display="https://www.youtube.com/watch?v=fjD9BVlmPoA" xr:uid="{958561FF-0E40-4579-BCB9-37EAB4A0BB2B}"/>
    <hyperlink ref="Q205" r:id="rId204" xr:uid="{46638881-A8F8-4C54-AF5F-90A2F5E877E8}"/>
    <hyperlink ref="Q206" r:id="rId205" xr:uid="{AF4E3174-50B0-4148-A436-54566B25AA53}"/>
    <hyperlink ref="Q207" r:id="rId206" xr:uid="{F5E6A4BC-F437-4F2E-831D-DB1AAD803EE3}"/>
    <hyperlink ref="Q208" r:id="rId207" xr:uid="{37EF03C7-32BA-48B5-94E0-12C866BAB0F1}"/>
    <hyperlink ref="Q209" r:id="rId208" xr:uid="{45D0CF98-12E9-46B1-AC1E-D097DA398379}"/>
    <hyperlink ref="Q210" r:id="rId209" xr:uid="{F4B8A9CF-6275-41D8-BB85-7CC63B90547E}"/>
    <hyperlink ref="Q211" r:id="rId210" xr:uid="{237AE4F3-2F7C-48E4-A355-BEC852991496}"/>
    <hyperlink ref="Q212" r:id="rId211" xr:uid="{B120EF5C-9E64-4A2C-AE68-EEED3D6576BC}"/>
    <hyperlink ref="Q213" r:id="rId212" xr:uid="{F2F33F09-CC45-4F17-90F6-D7D9AA827450}"/>
    <hyperlink ref="Q214" r:id="rId213" xr:uid="{4E098D87-277A-419F-B6D2-72701EF11A0F}"/>
    <hyperlink ref="F215" r:id="rId214" display="https://www.youtube.com/watch?v=iGpYgqX-p8c" xr:uid="{BDBF4EF1-9CCE-4CC6-81AA-6952273A94B2}"/>
    <hyperlink ref="F216" r:id="rId215" display="https://www.youtube.com/watch?v=schP-IZS5Sw" xr:uid="{592D0766-98CF-4570-B080-90839FFFD705}"/>
    <hyperlink ref="F217" r:id="rId216" display="https://www.youtube.com/watch?v=gmu_fBglk-A" xr:uid="{03EAFF04-3EA0-4533-BC18-6DCED05025C2}"/>
    <hyperlink ref="F218" r:id="rId217" display="https://www.youtube.com/watch?v=-WPYCv8jdJc" xr:uid="{E8D90E1C-F69F-4965-A9DA-0A6752043096}"/>
    <hyperlink ref="F219" r:id="rId218" display="https://www.youtube.com/watch?v=91dtNzk71IA" xr:uid="{426C317C-DC9F-4A10-BD77-BC1D6E588A15}"/>
    <hyperlink ref="F220" r:id="rId219" display="https://www.youtube.com/watch?v=SrCfhdoTLfg" xr:uid="{43FBE24D-4C4F-4C48-9B3F-2E173D84DBC8}"/>
    <hyperlink ref="F221" r:id="rId220" display="https://www.youtube.com/watch?v=nmbYnYYpa6g" xr:uid="{2C8BD120-3794-4E26-995F-710A23F6FEB4}"/>
    <hyperlink ref="F222" r:id="rId221" display="https://www.youtube.com/watch?v=NPNImjeRrF8" xr:uid="{77BD5591-3BDA-4B11-8BF3-3274B2F0F80E}"/>
    <hyperlink ref="F223" r:id="rId222" display="https://www.youtube.com/watch?v=8RSu4ymCgp4" xr:uid="{DC7364F6-4B89-4984-A87B-C3D59BAD7F9D}"/>
    <hyperlink ref="Q224" r:id="rId223" xr:uid="{F4DA8EEE-A623-47FB-B9E9-6E2F02E85C54}"/>
    <hyperlink ref="Q225" r:id="rId224" xr:uid="{0FA2CF06-4E03-4634-A424-9417522FA32C}"/>
    <hyperlink ref="Q226" r:id="rId225" xr:uid="{C8A1BBFD-DBBB-4734-AE13-69433EF2C358}"/>
    <hyperlink ref="Q227" r:id="rId226" xr:uid="{D3FEF2DE-0FB1-4FD8-9C11-45C4C25A8108}"/>
    <hyperlink ref="Q228" r:id="rId227" xr:uid="{F4171EDD-3C7A-470D-8813-C58AF07184F4}"/>
    <hyperlink ref="Q229" r:id="rId228" xr:uid="{9826918D-D223-4CFA-AD73-DD2597EF6947}"/>
    <hyperlink ref="Q230" r:id="rId229" xr:uid="{EE1441F5-41F0-4E63-9320-F8FDD9B04629}"/>
    <hyperlink ref="Q231" r:id="rId230" xr:uid="{61EFB24E-4197-40C2-AF42-1973AEB37FC3}"/>
    <hyperlink ref="Q232" r:id="rId231" xr:uid="{67B56350-C595-460C-86F4-E8AA75F8958A}"/>
    <hyperlink ref="Q233" r:id="rId232" xr:uid="{EED1E225-D964-4964-9455-D6497CE89B5A}"/>
    <hyperlink ref="Q234" r:id="rId233" xr:uid="{03CF1C2A-8150-460F-9BA8-CB35FE8789E0}"/>
    <hyperlink ref="Q235" r:id="rId234" xr:uid="{BAB52152-A367-43AD-A75D-39CBC9059A0A}"/>
    <hyperlink ref="Q236" r:id="rId235" xr:uid="{8525041F-E7F9-4914-8CBB-D455689BA075}"/>
    <hyperlink ref="Q237" r:id="rId236" xr:uid="{9D9CA2A8-BFD5-4CD5-8142-98A495D4C2B2}"/>
    <hyperlink ref="Q238" r:id="rId237" xr:uid="{C19F6554-9162-4EFF-B7E0-0D5DD0D0ABE0}"/>
    <hyperlink ref="Q239" r:id="rId238" xr:uid="{4108BE30-3EF6-4EAD-B225-633D919E408C}"/>
    <hyperlink ref="Q240" r:id="rId239" xr:uid="{E3AB5F63-348A-4A1A-B55F-0CE2F16A8ADC}"/>
    <hyperlink ref="Q241" r:id="rId240" xr:uid="{4A7AEA7F-C68E-453A-A45D-308EDE482316}"/>
    <hyperlink ref="Q242" r:id="rId241" xr:uid="{B5AAA23F-18FB-4882-A32E-11AC03404D75}"/>
    <hyperlink ref="F243" r:id="rId242" display="https://www.youtube.com/watch?v=MOkWSa69NKA" xr:uid="{697145B0-86B4-4DFE-9FCD-88478C8D4C8F}"/>
    <hyperlink ref="F244" r:id="rId243" display="https://www.youtube.com/watch?v=k_PhmmAyLFg" xr:uid="{59D225CE-0E63-497D-A545-F101A3E0AA7F}"/>
    <hyperlink ref="F245" r:id="rId244" display="https://www.youtube.com/watch?v=tUBrwCmKx8s" xr:uid="{0887C055-D161-4F14-B0AB-F82CFEA1B544}"/>
    <hyperlink ref="F246" r:id="rId245" display="https://www.youtube.com/watch?v=Vf5BOYF0S3Y" xr:uid="{A97A932D-869D-4D00-8654-CCBFC921B976}"/>
    <hyperlink ref="Q247" r:id="rId246" xr:uid="{BCEA4813-8867-44CE-988F-9821160D1F7F}"/>
    <hyperlink ref="Q248" r:id="rId247" xr:uid="{B7AC92EE-41C1-4D50-AA5A-553ECBD65999}"/>
    <hyperlink ref="Q249" r:id="rId248" xr:uid="{23027F95-1E3A-4517-B27B-2A421D1BF166}"/>
    <hyperlink ref="Q250" r:id="rId249" xr:uid="{3A3F278B-6A78-4746-A973-5EBA97706818}"/>
    <hyperlink ref="Q251" r:id="rId250" xr:uid="{7BC13B43-6FD0-4541-838F-99D8D6BEB0BF}"/>
    <hyperlink ref="Q252" r:id="rId251" xr:uid="{6FF62CC2-DB07-48D0-A036-6F9A2F427193}"/>
    <hyperlink ref="Q253" r:id="rId252" xr:uid="{E6BB398B-478F-41DF-B7BB-67DDDF61BBB2}"/>
    <hyperlink ref="Q254" r:id="rId253" xr:uid="{15EC6F1E-3DA5-4C33-A565-1340D09B26FB}"/>
    <hyperlink ref="Q255" r:id="rId254" xr:uid="{B44501BC-BECB-4C1A-A62D-F8CE754513C7}"/>
    <hyperlink ref="Q256" r:id="rId255" xr:uid="{B67D94D5-5B77-4A19-AD6C-8A5033A6816F}"/>
    <hyperlink ref="Q257" r:id="rId256" xr:uid="{4696D148-4CBC-49EA-86E9-FD1ABB160CB5}"/>
    <hyperlink ref="Q258" r:id="rId257" xr:uid="{C63754A1-E93B-47AA-9B6C-7C2C86C93BB0}"/>
    <hyperlink ref="Q259" r:id="rId258" xr:uid="{F5302694-D562-46B8-8A61-C46A27E64CC2}"/>
    <hyperlink ref="Q260" r:id="rId259" xr:uid="{1C4BF325-23DF-4454-992D-3AF93AD8E43D}"/>
    <hyperlink ref="F261" r:id="rId260" display="https://www.youtube.com/watch?v=WMf0Mau2TzE" xr:uid="{FA33915A-7B69-4FDC-A9D0-0A72C03EDEBE}"/>
    <hyperlink ref="F262" r:id="rId261" display="https://www.youtube.com/watch?v=apOba1F4MT4" xr:uid="{594C7869-9007-4C3A-BA06-07759BBCF983}"/>
    <hyperlink ref="F263" r:id="rId262" display="https://www.youtube.com/watch?v=CtiARMXwI0Q" xr:uid="{F923AC50-AD95-4FF4-8F71-B1AD6C8EE577}"/>
    <hyperlink ref="F264" r:id="rId263" display="https://www.youtube.com/watch?v=61LvuBJ6Ojs" xr:uid="{F809FF5A-6BD4-4643-ABD5-1285A17A756D}"/>
    <hyperlink ref="F265" r:id="rId264" display="https://www.youtube.com/watch?v=nQhpJFt2KG8" xr:uid="{54091D7E-0EC5-4C1F-9921-3C70A7866BF1}"/>
    <hyperlink ref="F266" r:id="rId265" display="https://www.youtube.com/watch?v=myZqody8PTw" xr:uid="{E4C728B5-0D09-48C7-9F25-CA4125447484}"/>
    <hyperlink ref="F267" r:id="rId266" display="https://www.youtube.com/watch?v=iFLc0n8RSAA" xr:uid="{78901A65-EDDB-4A3D-8A9D-1D1095953A1F}"/>
    <hyperlink ref="F268" r:id="rId267" display="https://www.youtube.com/watch?v=eKtCOiQbVX0" xr:uid="{37216541-57FC-4C9E-A1D6-DEAD3F029737}"/>
    <hyperlink ref="F269" r:id="rId268" display="https://www.youtube.com/watch?v=vnw9dW2QgYk" xr:uid="{6637647E-F3CB-4111-84BD-A2D754470772}"/>
    <hyperlink ref="F270" r:id="rId269" display="https://www.youtube.com/watch?v=TxC_8Xllf-M" xr:uid="{B6D9493A-30CC-4DF2-B5A5-429B304CA9CF}"/>
    <hyperlink ref="F271" r:id="rId270" display="https://www.youtube.com/watch?v=nbZhVwfCRMU" xr:uid="{9E3F21A7-D57E-4B52-90E1-33D266D481D2}"/>
    <hyperlink ref="F272" r:id="rId271" display="https://www.youtube.com/watch?v=rdyZwjy8Wko" xr:uid="{CB9C264C-1F6E-4479-AF9D-212CAF52C50B}"/>
    <hyperlink ref="F273" r:id="rId272" display="https://www.youtube.com/watch?v=v6It_CJ27bg" xr:uid="{A2B5AE0D-660E-4AC8-A020-A8D0BD38AE4C}"/>
    <hyperlink ref="F274" r:id="rId273" display="https://www.youtube.com/watch?v=vSLKEwGRgbY" xr:uid="{AC8E5A07-8FFD-408A-A54E-DF873AEA59DE}"/>
    <hyperlink ref="F275" r:id="rId274" display="https://www.youtube.com/watch?v=67Y76FPHZ-g" xr:uid="{1C929381-BC07-4FB6-AAC8-4EAAB2EB9639}"/>
    <hyperlink ref="F276" r:id="rId275" display="https://www.youtube.com/watch?v=qDcBHNXLxdc" xr:uid="{F5080386-4DD9-44B7-B61D-5579F14C165F}"/>
    <hyperlink ref="F277" r:id="rId276" display="https://www.youtube.com/watch?v=BF7tCmPOjs4" xr:uid="{D0EA652F-C6D9-41E0-925C-95FCF3CF55D5}"/>
    <hyperlink ref="F278" r:id="rId277" display="https://www.youtube.com/watch?v=UrWQfScMALY" xr:uid="{B50CE82A-ACFD-4390-B2E9-D1E6A1B13C9E}"/>
    <hyperlink ref="F279" r:id="rId278" display="https://www.youtube.com/watch?v=6LOxjxiZ3NQ" xr:uid="{90653F4D-01B2-4A18-A74C-E9DF6DCFD737}"/>
    <hyperlink ref="F280" r:id="rId279" display="https://www.youtube.com/watch?v=08Xwx9vsy6w" xr:uid="{EEDE89F8-B6CB-4137-8FA3-37D4843463AE}"/>
    <hyperlink ref="F281" r:id="rId280" display="https://www.youtube.com/watch?v=JErwMUETzvU" xr:uid="{F211C1BC-4DA1-41D4-87E7-8757290082D4}"/>
    <hyperlink ref="F282" r:id="rId281" display="https://www.youtube.com/watch?v=SS0UQNsxhus" xr:uid="{4E9D2060-F059-4C13-A4ED-54B276B8DEA9}"/>
    <hyperlink ref="F283" r:id="rId282" display="https://www.youtube.com/watch?v=g-xyM5pVESg" xr:uid="{FC969C67-B8B6-4C4D-B275-1C19D606AF7D}"/>
    <hyperlink ref="F284" r:id="rId283" display="https://www.youtube.com/watch?v=vHGejHQUoio" xr:uid="{0F06A993-69BF-4750-83C0-FF56EFC52F40}"/>
    <hyperlink ref="F285" r:id="rId284" display="https://www.youtube.com/watch?v=3f7b_ZE5B1Y" xr:uid="{8A0153A7-F398-463E-B607-D4BA2D09A8E2}"/>
    <hyperlink ref="F286" r:id="rId285" display="https://www.youtube.com/watch?v=kQP4pUPNjqs" xr:uid="{5F31382E-FD8D-4F4B-A2AC-D56F8E7A54AD}"/>
    <hyperlink ref="F287" r:id="rId286" display="https://www.youtube.com/watch?v=hWBzG7eVqVg" xr:uid="{95C7FB87-5665-4489-91C3-D742E90D4413}"/>
    <hyperlink ref="F288" r:id="rId287" display="https://www.youtube.com/watch?v=7jIfpSOnmK8" xr:uid="{317B0637-76A5-42DD-B52D-29C28492F41C}"/>
    <hyperlink ref="F289" r:id="rId288" display="https://www.youtube.com/watch?v=qd7yTtTb_Fc" xr:uid="{7262FB69-2A6C-43AD-B3C8-ECBF96BB0BD3}"/>
    <hyperlink ref="F290" r:id="rId289" display="https://www.youtube.com/watch?v=2WYZtS_LLog" xr:uid="{2C08F2B9-A132-4366-81B2-7782E9C94212}"/>
    <hyperlink ref="F291" r:id="rId290" display="https://www.youtube.com/watch?v=agP31XI_FxA" xr:uid="{967AFE57-8D7D-4DD2-960A-1959A742DBAD}"/>
    <hyperlink ref="F292" r:id="rId291" display="https://www.youtube.com/watch?v=7ZD3D4mAoaE" xr:uid="{20A5C98F-A7C6-4C68-822D-2CEDBEF57600}"/>
    <hyperlink ref="F293" r:id="rId292" display="https://www.youtube.com/watch?v=ANSSQQ6ZauM" xr:uid="{0C7E05D7-EB12-4154-810D-8FFEC458F0F2}"/>
    <hyperlink ref="F294" r:id="rId293" display="https://www.youtube.com/watch?v=OBViSvvLu-s" xr:uid="{D3A5421B-5109-455F-828B-623478A2ACE2}"/>
    <hyperlink ref="F295" r:id="rId294" display="https://www.youtube.com/watch?v=k54XQ5I1Nzo" xr:uid="{F95343CD-AA89-4EA1-AA3B-617CAEF8632A}"/>
    <hyperlink ref="F296" r:id="rId295" display="https://www.youtube.com/watch?v=vdwHHPZwNEo" xr:uid="{5D965203-3616-42B3-B514-D9DC4B006B92}"/>
    <hyperlink ref="F297" r:id="rId296" display="https://www.youtube.com/watch?v=q1K9wPDzMjU" xr:uid="{29D51A99-A3AF-48EA-B5AE-78FB569D5BAD}"/>
    <hyperlink ref="F298" r:id="rId297" display="https://www.youtube.com/watch?v=75OFJ9IX4tI" xr:uid="{932D54F3-13AA-4A0D-84F8-643912559C19}"/>
    <hyperlink ref="F299" r:id="rId298" display="https://www.youtube.com/watch?v=p6HgGSKj2m8" xr:uid="{E92CFA47-4D8F-45F6-BE9C-ABAD9F90DFCC}"/>
    <hyperlink ref="F300" r:id="rId299" display="https://www.youtube.com/watch?v=cKIAV15AZcI" xr:uid="{37AA7F43-E7E4-4F32-AB49-ACD16C25AF67}"/>
    <hyperlink ref="F301" r:id="rId300" display="https://www.youtube.com/watch?v=sdhISUDYvX4" xr:uid="{342F4EDE-43A0-4383-9663-7956296946C6}"/>
    <hyperlink ref="F302" r:id="rId301" display="https://www.youtube.com/watch?v=T0iutxik1Eg" xr:uid="{443ECA39-ADC0-4DA6-A2E8-3A535A954D36}"/>
    <hyperlink ref="F303" r:id="rId302" display="https://www.youtube.com/watch?v=PjvzuUMMZs4" xr:uid="{FF47AC5B-E87A-4B19-82F5-8D0CE2EDDADA}"/>
    <hyperlink ref="F304" r:id="rId303" display="https://www.youtube.com/watch?v=HdBCunbR_jE" xr:uid="{D44B1409-4254-4176-A7FC-D972FEE359E0}"/>
    <hyperlink ref="F305" r:id="rId304" display="https://www.youtube.com/watch?v=vKGL9b0x_K8" xr:uid="{5002D460-C6FE-4215-94D7-638E75F53626}"/>
    <hyperlink ref="F306" r:id="rId305" display="https://www.youtube.com/watch?v=5K-nmVDwXW0" xr:uid="{96E3025E-90BD-40DA-B12E-20958BB6EA3B}"/>
    <hyperlink ref="F307" r:id="rId306" display="https://www.youtube.com/watch?v=R7mzbp-9vbk" xr:uid="{C2BF4478-57A1-4A52-AF06-C2EC13A5AF96}"/>
    <hyperlink ref="F308" r:id="rId307" display="https://www.youtube.com/watch?v=ucgD3lqwZX0" xr:uid="{D2F58915-A2E5-4D29-8442-7340993D2D09}"/>
    <hyperlink ref="F309" r:id="rId308" display="https://www.youtube.com/watch?v=5bAuJCTjg8s" xr:uid="{B7CD328C-5233-45A7-B644-D6806C461329}"/>
    <hyperlink ref="F310" r:id="rId309" display="https://www.youtube.com/watch?v=d9KgrM48iGg" xr:uid="{F8B068E8-A56D-4C7B-8F4F-720DA8AABFA0}"/>
    <hyperlink ref="F311" r:id="rId310" display="https://www.youtube.com/watch?v=4h6drLmYTr8" xr:uid="{D43506FB-5CB4-4877-AD7B-4A60E53A002A}"/>
    <hyperlink ref="F312" r:id="rId311" display="https://www.youtube.com/watch?v=2uOiM67vK6A" xr:uid="{95C8C085-B59E-4BAC-9B6B-322CB4AEDC76}"/>
    <hyperlink ref="F313" r:id="rId312" display="https://www.youtube.com/watch?v=Y1SUVA0PU1o" xr:uid="{0B9881AC-D4A1-4148-9371-38DBD1498FDC}"/>
    <hyperlink ref="F314" r:id="rId313" display="https://www.youtube.com/watch?v=yaOVnZ7W-Qc" xr:uid="{9D9A0696-61D2-45E4-B1DD-2F3FF0B14EE3}"/>
    <hyperlink ref="F315" r:id="rId314" display="https://www.youtube.com/watch?v=hgdVPIrlSPU" xr:uid="{8FAE5BC7-724B-439C-A4F0-1EE9E2867FE6}"/>
    <hyperlink ref="F316" r:id="rId315" display="https://www.youtube.com/watch?v=8iuVX1AkV_0" xr:uid="{20B5F1D1-61C6-4567-A28B-473E3DF3BB63}"/>
    <hyperlink ref="F317" r:id="rId316" display="https://www.youtube.com/watch?v=wH8I0vSB-Os" xr:uid="{FEB68A77-25A9-4603-A925-B9D82F10B6A2}"/>
    <hyperlink ref="F318" r:id="rId317" display="https://www.youtube.com/watch?v=Um1LJAfSPoo" xr:uid="{69867CAD-318C-45C3-A35F-D045DF0B9460}"/>
    <hyperlink ref="F319" r:id="rId318" display="https://www.youtube.com/watch?v=itgdRwuvtN0" xr:uid="{032DC0F3-AD91-4FC8-9978-884BDCC4AD9F}"/>
    <hyperlink ref="F320" r:id="rId319" display="https://www.youtube.com/watch?v=Z7B5IZZhoAI" xr:uid="{EAC2A232-79FC-4183-B4E0-C8180B05D1E0}"/>
    <hyperlink ref="F321" r:id="rId320" display="https://www.youtube.com/watch?v=UuJzHq-Ont4" xr:uid="{45892B17-7C5F-4335-8F89-8B9A69E292B4}"/>
    <hyperlink ref="F322" r:id="rId321" display="https://www.youtube.com/watch?v=fQxUVyFqzpA" xr:uid="{21B59390-4A5C-476F-9B16-3831A84970B7}"/>
    <hyperlink ref="F323" r:id="rId322" display="https://www.youtube.com/watch?v=wgud4Fi47XA" xr:uid="{E558B62F-90BE-4E2A-9B02-71C4F2A617F0}"/>
    <hyperlink ref="F324" r:id="rId323" display="https://www.youtube.com/watch?v=2Ew9deAuPwU" xr:uid="{3E25BA2D-94B7-4CAA-B44D-7A8DD0A01E40}"/>
    <hyperlink ref="F325" r:id="rId324" display="https://www.youtube.com/watch?v=Au_HvuB2IQc" xr:uid="{5D04D669-3502-484B-B37B-02E56802A7FB}"/>
    <hyperlink ref="F326" r:id="rId325" display="https://www.youtube.com/watch?v=t_J24YUQNK4" xr:uid="{E13628A4-4FE9-4872-844A-658834C80AC7}"/>
    <hyperlink ref="F327" r:id="rId326" display="https://www.youtube.com/watch?v=MfzPrOKKZVo" xr:uid="{78D66273-C95B-472C-AF50-C0CC874B5177}"/>
    <hyperlink ref="F328" r:id="rId327" display="https://www.youtube.com/watch?v=57-MHC42i7g" xr:uid="{40F9AA23-330D-44D3-B62B-4B5651B51A97}"/>
    <hyperlink ref="F329" r:id="rId328" display="https://www.youtube.com/watch?v=pO9qCeA640E" xr:uid="{934F0C4D-9F5A-4C52-9430-76857F21ACF5}"/>
    <hyperlink ref="F330" r:id="rId329" display="https://www.youtube.com/watch?v=17Jnr2hr0ro" xr:uid="{62217F48-1524-4ED8-9FAB-4DF07DD57C6F}"/>
    <hyperlink ref="F331" r:id="rId330" display="https://www.youtube.com/watch?v=MBzty84VgRo" xr:uid="{26B212D4-F865-4124-81E1-62D9FFB98A69}"/>
    <hyperlink ref="F332" r:id="rId331" display="https://www.youtube.com/watch?v=cpZPvFvzNlc" xr:uid="{74907FC5-94FE-4360-AB2A-235E5808D573}"/>
    <hyperlink ref="Q333" r:id="rId332" xr:uid="{A696A9BB-FDB9-42F2-8CD5-AB8074E41EF8}"/>
    <hyperlink ref="Q334" r:id="rId333" xr:uid="{619AB335-4B8C-47FC-81AB-CEAD8BBDD0A6}"/>
    <hyperlink ref="Q335" r:id="rId334" xr:uid="{A326B559-D9AA-4C27-9D60-FA3E50AB1974}"/>
    <hyperlink ref="Q336" r:id="rId335" xr:uid="{6C1EC363-CDCE-4C93-86DC-D31DA3C78F08}"/>
    <hyperlink ref="Q337" r:id="rId336" xr:uid="{23399495-B35D-4804-9F96-BC9E544A9C39}"/>
    <hyperlink ref="Q338" r:id="rId337" xr:uid="{46C3EE11-ABC6-4A33-BF77-B2C4431CE346}"/>
    <hyperlink ref="Q339" r:id="rId338" xr:uid="{763A74C3-DD96-419E-87B9-427D4B7E23E1}"/>
    <hyperlink ref="Q340" r:id="rId339" xr:uid="{E5F64AC5-2465-4ACD-9855-71E2D32E6880}"/>
    <hyperlink ref="Q341" r:id="rId340" xr:uid="{B2CB7B0A-6C70-4906-B1F5-A2264B1EF9CB}"/>
    <hyperlink ref="F342" r:id="rId341" display="https://www.youtube.com/watch?v=nCmJgIvSqfU" xr:uid="{BF364613-FB1E-47E6-96CB-FBF804F9BAB7}"/>
    <hyperlink ref="F343" r:id="rId342" display="https://www.youtube.com/watch?v=qsCWK-TQVsk" xr:uid="{5704C45F-DFF4-499A-8519-1A499D1AB9D5}"/>
    <hyperlink ref="F344" r:id="rId343" display="https://www.youtube.com/watch?v=r5r1yU9O2ag" xr:uid="{15716211-4801-4D74-A030-92FDEC6245F7}"/>
    <hyperlink ref="F345" r:id="rId344" display="https://www.youtube.com/watch?v=MFVzVjuj90E" xr:uid="{5ABEEB2B-57E4-474F-A21A-F1A779C47078}"/>
    <hyperlink ref="F346" r:id="rId345" display="https://www.youtube.com/watch?v=Wu9WbgwxgjI" xr:uid="{7FBDAA58-7CEA-4C02-B698-CEFE8682F959}"/>
    <hyperlink ref="F347" r:id="rId346" display="https://www.youtube.com/watch?v=zqnotAbf-Cc" xr:uid="{852A3613-D351-4C08-B7DB-D89C887F2937}"/>
    <hyperlink ref="F348" r:id="rId347" display="https://www.youtube.com/watch?v=oeFU8Lk35BI" xr:uid="{006DF16C-436F-4809-BE10-F28E7748AC9F}"/>
    <hyperlink ref="F349" r:id="rId348" display="https://www.youtube.com/watch?v=NfO_yqDrGWs" xr:uid="{7F152F0A-F2D2-4010-B01E-25A6B8E87A28}"/>
    <hyperlink ref="F350" r:id="rId349" display="https://www.youtube.com/watch?v=uNPifASaoFM" xr:uid="{D20E0C2E-D5EA-4980-BCC3-0E876A87B780}"/>
    <hyperlink ref="F351" r:id="rId350" display="https://www.youtube.com/watch?v=0-LZkVdXTnc" xr:uid="{AC3C0331-8112-4F1D-A01C-79FEA9309B43}"/>
    <hyperlink ref="F352" r:id="rId351" display="https://www.youtube.com/watch?v=yIUwgFjMrg8" xr:uid="{4299E9FD-51E7-48DE-84CA-8D80028DA5ED}"/>
    <hyperlink ref="F353" r:id="rId352" display="https://www.youtube.com/watch?v=pAHRrR6eeDU" xr:uid="{D8D64628-5D27-461D-99A6-035E72DBBCDC}"/>
    <hyperlink ref="F354" r:id="rId353" display="https://www.youtube.com/watch?v=EWnc9FdyP7s" xr:uid="{B436FD8B-2890-49BC-998A-D0477841A49B}"/>
    <hyperlink ref="F355" r:id="rId354" display="https://www.youtube.com/watch?v=LI3VwCn-0WI" xr:uid="{FE145EBA-22E1-4428-8BCF-2EEFE8DB1FE4}"/>
    <hyperlink ref="F356" r:id="rId355" display="https://www.youtube.com/watch?v=yVdcSMOWtxM" xr:uid="{65A7F84B-2A33-4A5A-85BF-BF8F0304DCFB}"/>
    <hyperlink ref="F357" r:id="rId356" display="https://www.youtube.com/watch?v=Yf6-fJ-LcU8" xr:uid="{23496D31-96CA-4BC9-8D4A-660CC88D6F29}"/>
    <hyperlink ref="F358" r:id="rId357" display="https://www.youtube.com/watch?v=L2rJctVLi3M" xr:uid="{AF2C60C9-FD7C-441E-9ADF-D4415FF57D26}"/>
    <hyperlink ref="F359" r:id="rId358" display="https://www.youtube.com/watch?v=wm8QHjKcDf8" xr:uid="{DAA19AB0-6831-4CA7-A30E-B6BB7376E907}"/>
    <hyperlink ref="F360" r:id="rId359" display="https://www.youtube.com/watch?v=U37L8EPVc5s" xr:uid="{58A63542-BB59-48B2-ACB2-9C9BE152F993}"/>
    <hyperlink ref="F361" r:id="rId360" display="https://www.youtube.com/watch?v=ja-cxuo3ugc" xr:uid="{34C5FA81-5D63-40C7-B3AB-AD980F77F5CF}"/>
    <hyperlink ref="F362" r:id="rId361" display="https://www.youtube.com/watch?v=F95dqGlnggo" xr:uid="{9F48E35D-C179-48C0-B986-D27B2A1DE466}"/>
    <hyperlink ref="F363" r:id="rId362" display="https://www.youtube.com/watch?v=9IzjjqFO5c8" xr:uid="{76C3E166-E462-4252-87F7-DAC5DE2E7968}"/>
    <hyperlink ref="F364" r:id="rId363" display="https://www.youtube.com/watch?v=5YuNKvTZtdM" xr:uid="{292512D2-CB9C-4C67-AB3C-8560911A27DE}"/>
    <hyperlink ref="F365" r:id="rId364" display="https://www.youtube.com/watch?v=XeCuvEX-tow" xr:uid="{3276D8CA-82B0-482F-9706-3E8761E8F607}"/>
    <hyperlink ref="F366" r:id="rId365" display="https://www.youtube.com/watch?v=182HueOxCaU" xr:uid="{17B78C00-7CEF-45D1-8660-235CA6AD37FF}"/>
    <hyperlink ref="F367" r:id="rId366" display="https://www.youtube.com/watch?v=t63m6GCrKbw" xr:uid="{43D35C3D-C42B-4029-9010-BFCD140F9FB3}"/>
    <hyperlink ref="F368" r:id="rId367" display="https://www.youtube.com/watch?v=Dymxd9hAemA" xr:uid="{BE3B6405-2793-438E-9AAF-938A38B0482F}"/>
    <hyperlink ref="F369" r:id="rId368" display="https://www.youtube.com/watch?v=RKYffxIB9EM" xr:uid="{EEBC2FEC-A11E-482D-9A32-9EEDE21522BA}"/>
    <hyperlink ref="F370" r:id="rId369" display="https://www.youtube.com/watch?v=gU4jkSa9phY" xr:uid="{D03A3B08-65FB-4EB1-AD43-245D8B15E35F}"/>
    <hyperlink ref="F371" r:id="rId370" display="https://www.youtube.com/watch?v=y-v-Ijc7W3Y" xr:uid="{38D2DFC8-7CAA-455D-AB6F-A3CBF93FFA43}"/>
    <hyperlink ref="F372" r:id="rId371" display="https://www.youtube.com/watch?v=zVH1ZOi2_yk" xr:uid="{FE292FEA-A8F7-4A04-8D0C-316A4F75EB37}"/>
    <hyperlink ref="F373" r:id="rId372" display="https://www.youtube.com/watch?v=F-ZzB9uBQNs" xr:uid="{AB816D1A-5F63-4449-8E81-8303C3E74C08}"/>
    <hyperlink ref="F374" r:id="rId373" display="https://www.youtube.com/watch?v=AOQPqjRx-0c" xr:uid="{48A03D66-8AC2-45BD-9B4F-CDAC9C607C63}"/>
    <hyperlink ref="F375" r:id="rId374" display="https://www.youtube.com/watch?v=8ZJ9Ubv74Fc" xr:uid="{070E15A0-625B-4D12-83B6-E8FD52826829}"/>
    <hyperlink ref="F376" r:id="rId375" display="https://www.youtube.com/watch?v=9ScY3DQ8lnM" xr:uid="{A1371184-D1E5-4D8A-89EF-9C3BA092636F}"/>
    <hyperlink ref="F377" r:id="rId376" display="https://www.youtube.com/watch?v=gKt4SG-pAmw" xr:uid="{7D2298AE-48D8-4E01-AAED-3AB5CB5BB778}"/>
    <hyperlink ref="F378" r:id="rId377" display="https://www.youtube.com/watch?v=2p91-Fy5A6Q" xr:uid="{DD523CDD-67A0-49D5-A633-EA534266F1A1}"/>
    <hyperlink ref="F379" r:id="rId378" display="https://www.youtube.com/watch?v=30958J1ez4k" xr:uid="{BABC1296-26C3-4E53-9932-B177EA524047}"/>
    <hyperlink ref="F380" r:id="rId379" display="https://www.youtube.com/watch?v=nEEhdprZ-EE" xr:uid="{F248F23A-B677-4FB0-93BF-E27C422F66A5}"/>
    <hyperlink ref="F381" r:id="rId380" display="https://www.youtube.com/watch?v=dXkhbNnOMy0" xr:uid="{1531170A-4634-4753-AB6D-228229E61803}"/>
    <hyperlink ref="F382" r:id="rId381" display="https://www.youtube.com/watch?v=YD-IKZbbHeU" xr:uid="{73CC91DA-34A9-4C08-9A01-9A61FD9C7315}"/>
    <hyperlink ref="F383" r:id="rId382" display="https://www.youtube.com/watch?v=mLEhBqCBBYE" xr:uid="{F96E2BF7-AEF7-4155-94B8-AD9684A6511A}"/>
    <hyperlink ref="F384" r:id="rId383" display="https://www.youtube.com/watch?v=cshbkDak_p0" xr:uid="{B26A6070-0422-4065-8D71-05D11EFF4792}"/>
    <hyperlink ref="F385" r:id="rId384" display="https://www.youtube.com/watch?v=kmJLZRzZhUA" xr:uid="{44D40276-40DB-4EF6-86CD-AD2D01E518D1}"/>
    <hyperlink ref="F386" r:id="rId385" display="https://www.youtube.com/watch?v=myyrtrylWQs" xr:uid="{45F62927-7522-4968-80C5-3C34C060425E}"/>
    <hyperlink ref="F387" r:id="rId386" display="https://www.youtube.com/watch?v=v6x52noLJOo" xr:uid="{7914D961-D7CD-44B8-92B6-A22532CCFFD2}"/>
    <hyperlink ref="F388" r:id="rId387" display="https://www.youtube.com/watch?v=7zvf9bnLgs8" xr:uid="{F6AA1F49-8D88-4FDD-8687-1B199A71C155}"/>
    <hyperlink ref="F389" r:id="rId388" display="https://www.youtube.com/watch?v=7RTlRYpr7o8" xr:uid="{729875CA-FBC7-483A-8534-C53A429C9017}"/>
    <hyperlink ref="F390" r:id="rId389" display="https://www.youtube.com/watch?v=Th1s8XrKhnk" xr:uid="{621CDAEA-2B68-4879-A0D4-4C99BB853AF6}"/>
    <hyperlink ref="F391" r:id="rId390" display="https://www.youtube.com/watch?v=oYXPvuD_ejM" xr:uid="{C533F7B2-DAB2-4517-BA0C-5CA461032572}"/>
    <hyperlink ref="F392" r:id="rId391" display="https://www.youtube.com/watch?v=Cs9JbmZ0poM" xr:uid="{4483E2B0-1E9B-40F3-BBCA-BCCEB8234D9E}"/>
    <hyperlink ref="F393" r:id="rId392" display="https://www.youtube.com/watch?v=xGvABG6vfLg" xr:uid="{0739211F-9A9F-42A7-ABCD-A11B087AC616}"/>
    <hyperlink ref="F394" r:id="rId393" display="https://www.youtube.com/watch?v=QfYz6BBYpWg" xr:uid="{F1BB6312-2F66-4281-9690-472F4E985E65}"/>
    <hyperlink ref="F395" r:id="rId394" display="https://www.youtube.com/watch?v=-rJtFWVJpjA" xr:uid="{3D59D1F0-51C7-4071-A657-BEFCE862905A}"/>
    <hyperlink ref="F396" r:id="rId395" display="https://www.youtube.com/watch?v=iY88UCitwGY" xr:uid="{295F93FA-D85F-4D29-BE3B-C2FAAB4DCEC5}"/>
    <hyperlink ref="F397" r:id="rId396" display="https://www.youtube.com/watch?v=KBA7GLExw3o" xr:uid="{2E5482A5-58BC-4551-BE28-F68797A9D934}"/>
    <hyperlink ref="F398" r:id="rId397" display="https://www.youtube.com/watch?v=DoYL7K2djDY" xr:uid="{2B80B970-0543-4662-92F8-1844118D48D3}"/>
    <hyperlink ref="F399" r:id="rId398" display="https://www.youtube.com/watch?v=GajqTVRZzfE" xr:uid="{C9EDE048-7785-4690-9F8F-F91EB9018487}"/>
    <hyperlink ref="F400" r:id="rId399" display="https://www.youtube.com/watch?v=QPVDHJcsv5U" xr:uid="{53A39F90-D1BB-42AC-B48D-646852125FC9}"/>
    <hyperlink ref="F401" r:id="rId400" display="https://www.youtube.com/watch?v=pfw-rEK12IA" xr:uid="{617FC0B9-6D33-4380-BFE6-829CA7551917}"/>
    <hyperlink ref="F402" r:id="rId401" display="https://www.youtube.com/watch?v=4H5piNrmsCU" xr:uid="{3A143D39-CAD5-4A69-9BB4-FA1EA9D8B846}"/>
    <hyperlink ref="F403" r:id="rId402" display="https://www.youtube.com/watch?v=bEc29vVNLOc" xr:uid="{ACC82B7D-7097-4644-BE6E-F6B9A7D1C6C0}"/>
    <hyperlink ref="F404" r:id="rId403" display="https://www.youtube.com/watch?v=7WA-8QBd5Tk" xr:uid="{A1CC6430-E9E2-48F1-A7B7-F1A00EE343AF}"/>
    <hyperlink ref="F405" r:id="rId404" display="https://www.youtube.com/watch?v=3asYCknfoMo" xr:uid="{F6CB4EEE-6861-40CA-9FEB-F86AE569DE32}"/>
    <hyperlink ref="F406" r:id="rId405" display="https://www.youtube.com/watch?v=4gAHt9ki2xY" xr:uid="{0E0F4CA0-A5EE-4DFC-8DFB-866B3ED60EB7}"/>
    <hyperlink ref="F407" r:id="rId406" display="https://www.youtube.com/watch?v=TbQkh6axHEM" xr:uid="{5BADDD83-9404-420E-9514-2D58C61C6FA5}"/>
    <hyperlink ref="F408" r:id="rId407" display="https://www.youtube.com/watch?v=1_8y5fSSOlE" xr:uid="{CAFDB939-0043-4C34-A740-D36FF0036601}"/>
    <hyperlink ref="F409" r:id="rId408" display="https://www.youtube.com/watch?v=jaw4U_s24zo" xr:uid="{E9DBFD36-8FC4-4995-812B-B17E3660551B}"/>
    <hyperlink ref="F410" r:id="rId409" display="https://www.youtube.com/watch?v=R2XPp4eJXLk" xr:uid="{12E7D96C-371D-4EF5-B8A9-1091E2B9697B}"/>
    <hyperlink ref="F411" r:id="rId410" display="https://www.youtube.com/watch?v=d9iObjKR5yI" xr:uid="{84C16368-729E-4152-8C34-33D3DFFD7385}"/>
    <hyperlink ref="F412" r:id="rId411" display="https://www.youtube.com/watch?v=Ow3nJA8fhhQ" xr:uid="{900C9606-C615-4A03-8258-18812426E86D}"/>
    <hyperlink ref="F413" r:id="rId412" display="https://www.youtube.com/watch?v=yr_-UHm07rM" xr:uid="{30C95618-AD48-4485-8572-FC12E5C6180C}"/>
    <hyperlink ref="F414" r:id="rId413" display="https://www.youtube.com/watch?v=JNg9hu1QURw" xr:uid="{B0D31C6E-304B-493B-996D-7E086B709006}"/>
    <hyperlink ref="F415" r:id="rId414" display="https://www.youtube.com/watch?v=11Ben3IvDQ0" xr:uid="{84BB8C97-30CC-4A5C-ACF9-41402C40CB34}"/>
    <hyperlink ref="F416" r:id="rId415" display="https://www.youtube.com/watch?v=xjZO-uNelDI" xr:uid="{AE7836E8-A78D-4BD8-86C1-4E01FE9930F9}"/>
    <hyperlink ref="F417" r:id="rId416" display="https://www.youtube.com/watch?v=6oKx_bFPSSA" xr:uid="{E69DD2C5-5169-4C46-849A-A3C9FCCF7927}"/>
    <hyperlink ref="F418" r:id="rId417" display="https://www.youtube.com/watch?v=_Anq0CTYGt8" xr:uid="{0BB4610C-7523-4EC9-BD2F-1A1660F09F46}"/>
    <hyperlink ref="F419" r:id="rId418" display="https://www.youtube.com/watch?v=_xIbCmTtK8s" xr:uid="{9349C7EA-1C3C-4DCC-95D2-0EBFBB5AB44E}"/>
    <hyperlink ref="F420" r:id="rId419" display="https://www.youtube.com/watch?v=qGie_-i1j6o" xr:uid="{836901A4-3A16-4F81-8A0B-AF1C20795E28}"/>
    <hyperlink ref="F421" r:id="rId420" display="https://www.youtube.com/watch?v=VwTbkm1NN4Y" xr:uid="{36FB5BC3-2CCD-4E12-BBF7-EFB777FDAB97}"/>
    <hyperlink ref="F422" r:id="rId421" display="https://www.youtube.com/watch?v=WQObFfIG62Q" xr:uid="{73BE8F73-381F-4187-8B68-8105907A50A3}"/>
    <hyperlink ref="F423" r:id="rId422" display="https://www.youtube.com/watch?v=CouNRYMLDmY" xr:uid="{0F6DFB30-F41A-4F1C-90C7-E521DAADD74A}"/>
    <hyperlink ref="F424" r:id="rId423" display="https://www.youtube.com/watch?v=ZWkU2WQv4mM" xr:uid="{2EA28398-752A-43EA-BC7F-26989B689665}"/>
    <hyperlink ref="F425" r:id="rId424" display="https://www.youtube.com/watch?v=ziCW-l-SXRM" xr:uid="{35F6DD7C-80BB-4149-BA55-A370189D46C6}"/>
    <hyperlink ref="F426" r:id="rId425" display="https://www.youtube.com/watch?v=mNRX-8C-RmY" xr:uid="{A310C02D-620B-45D1-82E5-84209C7C1D12}"/>
    <hyperlink ref="F427" r:id="rId426" display="https://www.youtube.com/watch?v=hH3jbt-s4aY" xr:uid="{6174FF5A-1445-464E-8EC1-99007C70A748}"/>
    <hyperlink ref="F428" r:id="rId427" display="https://www.youtube.com/watch?v=zyTsxv3NJzA" xr:uid="{AA463EAE-A103-4F32-A071-F176DA91EE58}"/>
    <hyperlink ref="F429" r:id="rId428" display="https://www.youtube.com/watch?v=yYhGJH2NjBA" xr:uid="{B9C9F6C2-2B2A-4C29-88A9-9968AC102B1B}"/>
    <hyperlink ref="F430" r:id="rId429" display="https://www.youtube.com/watch?v=R_G2Gd70LiY" xr:uid="{176C8F01-513A-4C62-93E8-8128D6D90A41}"/>
    <hyperlink ref="F431" r:id="rId430" display="https://www.youtube.com/watch?v=k6dsew1B6SE" xr:uid="{0D405C0E-7935-456C-80AB-9C1D13560C33}"/>
    <hyperlink ref="F432" r:id="rId431" display="https://www.youtube.com/watch?v=X4TDNzwe3s4" xr:uid="{A349A80F-94D8-4829-B655-2E74329D0575}"/>
    <hyperlink ref="F433" r:id="rId432" display="https://www.youtube.com/watch?v=_OWY_haNDNI" xr:uid="{7228D67E-275C-424E-9C67-FFB7544C2E84}"/>
    <hyperlink ref="F434" r:id="rId433" display="https://www.youtube.com/watch?v=s1VIjn0qPQg" xr:uid="{28B0614D-CE7A-4B9B-BE8D-22254E5F5A89}"/>
    <hyperlink ref="F435" r:id="rId434" display="https://www.youtube.com/watch?v=NpqJHyWjh7A" xr:uid="{60DE95E6-C990-4C27-9F45-E5FECF1CFED4}"/>
    <hyperlink ref="F436" r:id="rId435" display="https://www.youtube.com/watch?v=m9xF54UZFuY" xr:uid="{2C30D057-139D-4618-AEB0-67B0C0506FF2}"/>
    <hyperlink ref="F437" r:id="rId436" display="https://www.youtube.com/watch?v=srr9jTynwdo" xr:uid="{775C3AD9-39CE-4C30-ACA9-3BCEFAB8A3F2}"/>
    <hyperlink ref="F438" r:id="rId437" display="https://www.youtube.com/watch?v=w5KPpzfrQQY" xr:uid="{AB8A5347-C7E9-4C5E-9044-8300BE8FCC7C}"/>
    <hyperlink ref="F439" r:id="rId438" display="https://www.youtube.com/watch?v=AuVaei10Du0" xr:uid="{D7ADC37D-49D6-414D-A416-FBE0ECDF8762}"/>
    <hyperlink ref="F440" r:id="rId439" display="https://www.youtube.com/watch?v=1GLaXQ6Rgcg" xr:uid="{FCEC5889-5DD9-4A4A-B585-86173EF35BDC}"/>
    <hyperlink ref="F441" r:id="rId440" display="https://www.youtube.com/watch?v=FKg_FjS3qZw" xr:uid="{56A8C90C-D7C3-4D93-8169-A218212B8476}"/>
    <hyperlink ref="F442" r:id="rId441" display="https://www.youtube.com/watch?v=EHQ6eLHDs78" xr:uid="{96D49A8A-0515-4D8F-9926-89545CB92086}"/>
    <hyperlink ref="F443" r:id="rId442" display="https://www.youtube.com/watch?v=-cC-ErXYdnI" xr:uid="{FA1F22F6-EA8C-4A8E-BE18-94E2836ED7C8}"/>
    <hyperlink ref="F444" r:id="rId443" display="https://www.youtube.com/watch?v=dZCZp5udJeI" xr:uid="{73747A1E-E18A-4744-831E-1DAEE6F065F6}"/>
    <hyperlink ref="F445" r:id="rId444" display="https://www.youtube.com/watch?v=O5i1SD7KFkI" xr:uid="{B1230E1D-5B8F-47B4-BBCB-7779F11C0C72}"/>
    <hyperlink ref="F446" r:id="rId445" display="https://www.youtube.com/watch?v=Q3ZGmGasWfc" xr:uid="{B53EF95A-9B39-46DE-82F6-AA529F5D3148}"/>
    <hyperlink ref="F447" r:id="rId446" display="https://www.youtube.com/watch?v=JbxzX8kwig4" xr:uid="{2AD46656-BD36-4373-BE4C-FC9A4324466D}"/>
    <hyperlink ref="F448" r:id="rId447" display="https://www.youtube.com/watch?v=Uxcvh2BQu1g" xr:uid="{8EC17C60-4D89-4DB6-B771-BB4A2164B23B}"/>
    <hyperlink ref="F449" r:id="rId448" display="https://www.youtube.com/watch?v=0-Ishanuvj8" xr:uid="{0A096964-7F82-49FB-9E40-ECA352894618}"/>
    <hyperlink ref="F450" r:id="rId449" display="https://www.youtube.com/watch?v=j84sUcOTBRM" xr:uid="{81C612A3-BBB6-4013-9252-CE6EFFEF98E1}"/>
    <hyperlink ref="F451" r:id="rId450" display="https://www.youtube.com/watch?v=NQUbNykwFG4" xr:uid="{21E5CCAE-5C24-4F7F-B54B-D3E10B6EC7F8}"/>
    <hyperlink ref="F452" r:id="rId451" display="https://www.youtube.com/watch?v=zILqg37PouM" xr:uid="{6598F04C-ADAD-4C2B-94AF-248EDFF9D840}"/>
    <hyperlink ref="F453" r:id="rId452" display="https://www.youtube.com/watch?v=fzzIeVO7-qk" xr:uid="{14BAC203-1CA3-44AF-8E5A-45AED6C621EF}"/>
    <hyperlink ref="F454" r:id="rId453" display="https://www.youtube.com/watch?v=-fhrU0xoCgk" xr:uid="{C5BF3CBB-7AF3-48CF-AEB5-9B8AC24B7155}"/>
    <hyperlink ref="F455" r:id="rId454" display="https://www.youtube.com/watch?v=OXYcMlprdL4" xr:uid="{D9C2D328-39F6-4194-A41F-61435EAADB1A}"/>
    <hyperlink ref="F456" r:id="rId455" display="https://www.youtube.com/watch?v=yZ08CJsgurU" xr:uid="{7CEC8C20-ADBB-4DF1-8600-9B78D075C4EC}"/>
    <hyperlink ref="F457" r:id="rId456" display="https://www.youtube.com/watch?v=c13ZN5rYckE" xr:uid="{90132B05-C994-4919-88CC-E4FF6B864860}"/>
    <hyperlink ref="F458" r:id="rId457" display="https://www.youtube.com/watch?v=p3i_mI87a3E" xr:uid="{84CC1558-A8CD-4DE9-8934-AE7112754572}"/>
    <hyperlink ref="F459" r:id="rId458" display="https://www.youtube.com/watch?v=FrXBeS9Vj40" xr:uid="{845CB75F-960B-4B0A-A32F-8FD6283B1C1B}"/>
    <hyperlink ref="F460" r:id="rId459" display="https://www.youtube.com/watch?v=kaJQx-nXg6M" xr:uid="{A7F9FA0A-CFAB-4FFA-BC23-774C60C67063}"/>
    <hyperlink ref="F461" r:id="rId460" display="https://www.youtube.com/watch?v=fyMRRD_YeRI" xr:uid="{21D6CF5E-F396-4F64-8346-17BA0447E0B4}"/>
    <hyperlink ref="F462" r:id="rId461" display="https://www.youtube.com/watch?v=OHn7cvWw5gE" xr:uid="{4788C2A7-A42E-426A-8423-813CB88DDA01}"/>
    <hyperlink ref="F463" r:id="rId462" display="https://www.youtube.com/watch?v=tBf6vZKjL9w" xr:uid="{95CB7627-C3DF-4947-9CBB-3AEFF280CA9C}"/>
    <hyperlink ref="F464" r:id="rId463" display="https://www.youtube.com/watch?v=tNKCTknE59M" xr:uid="{AA2DA4B4-360E-4757-8B59-530F547861BD}"/>
    <hyperlink ref="F465" r:id="rId464" display="https://www.youtube.com/watch?v=0DzUUFbFZHs" xr:uid="{03701CBC-C580-4593-8908-4D8BBBAB6B58}"/>
    <hyperlink ref="F466" r:id="rId465" display="https://www.youtube.com/watch?v=59-D2X_vmlA" xr:uid="{C2981848-FD68-42F4-8033-BCC83E5FCCD1}"/>
    <hyperlink ref="F467" r:id="rId466" display="https://www.youtube.com/watch?v=NhDs3OPqMQ4" xr:uid="{5B419648-7262-4D25-AFFB-BF5A786AB073}"/>
    <hyperlink ref="F468" r:id="rId467" display="https://www.youtube.com/watch?v=7JNUG5Lyals" xr:uid="{15E2E7C7-854A-41C0-A98A-F83A607E2A8F}"/>
    <hyperlink ref="F469" r:id="rId468" display="https://www.youtube.com/watch?v=T-iBVjoTxpY" xr:uid="{D5E05C78-BA8C-4DF3-88E5-AFEB9FC6CFB7}"/>
    <hyperlink ref="F470" r:id="rId469" display="https://www.youtube.com/watch?v=2RlQdQoP4mE" xr:uid="{E0E7DAA4-2BBD-4D22-89F1-F39B1DB5BFA8}"/>
    <hyperlink ref="F471" r:id="rId470" display="https://www.youtube.com/watch?v=9eSzra79z-I" xr:uid="{B069A336-709D-4875-B92A-CB1854FBB19D}"/>
    <hyperlink ref="F472" r:id="rId471" display="https://www.youtube.com/watch?v=t5AEphve0P8" xr:uid="{82EACAA0-E0CA-4137-840A-EEE038725CDD}"/>
    <hyperlink ref="F473" r:id="rId472" display="https://www.youtube.com/watch?v=zm-fPGwlflY" xr:uid="{F45D8751-94C8-4E11-ADA7-0CFEAF21372D}"/>
    <hyperlink ref="F474" r:id="rId473" display="https://www.youtube.com/watch?v=Iimv8qJijTE" xr:uid="{C42F92D5-0C48-41B9-BEBD-B216E0BCD66B}"/>
    <hyperlink ref="F475" r:id="rId474" display="https://www.youtube.com/watch?v=kpktr2ml8m8" xr:uid="{DF002020-002B-430E-85F2-E36D5A50950C}"/>
    <hyperlink ref="F476" r:id="rId475" display="https://www.youtube.com/watch?v=jB9efRnouaI" xr:uid="{6DEDCBD5-C744-4C34-94FD-34376986884E}"/>
    <hyperlink ref="F477" r:id="rId476" display="https://www.youtube.com/watch?v=r2uhf3x6oH8" xr:uid="{B678FD5C-2F66-475A-838A-A16F75FEFE53}"/>
    <hyperlink ref="F478" r:id="rId477" display="https://www.youtube.com/watch?v=G-AjF_4Jc1I" xr:uid="{DA50209E-31C2-4ED7-870F-9D234ABAAA1B}"/>
    <hyperlink ref="F479" r:id="rId478" display="https://www.youtube.com/watch?v=hbcWYVaowqI" xr:uid="{9FA87BD4-5F91-4159-98B6-8B3B8978152B}"/>
    <hyperlink ref="F480" r:id="rId479" display="https://www.youtube.com/watch?v=olQlPZuEWLY" xr:uid="{C42E1C17-68FC-4934-AB46-5660347A5FCA}"/>
    <hyperlink ref="F481" r:id="rId480" display="https://www.youtube.com/watch?v=fwbLw9W9GC8" xr:uid="{18D2113D-2DF2-47A5-8C30-F5B368762023}"/>
    <hyperlink ref="F482" r:id="rId481" display="https://www.youtube.com/watch?v=XcIm7eWfJ_M" xr:uid="{4A8280D7-D5CF-4041-A6CD-D1D1F4C36F42}"/>
    <hyperlink ref="F483" r:id="rId482" display="https://www.youtube.com/watch?v=tD7VxQAIPLM" xr:uid="{AA360A8A-CD6F-4BBB-B160-4774366BDC2B}"/>
    <hyperlink ref="F484" r:id="rId483" display="https://www.youtube.com/watch?v=RaNpNJVvWDI" xr:uid="{C4D2FE8E-A89C-4271-B68D-4F769A4BA6CD}"/>
    <hyperlink ref="F485" r:id="rId484" display="https://www.youtube.com/watch?v=sdUuukDpj9s" xr:uid="{A232B3F8-FF7F-4012-83FC-C73F494B7CE1}"/>
    <hyperlink ref="F486" r:id="rId485" display="https://www.youtube.com/watch?v=jQ47l4DT1BY" xr:uid="{A39BE21D-AA36-451A-8EE1-F6EC0D941BF1}"/>
    <hyperlink ref="F487" r:id="rId486" display="https://www.youtube.com/watch?v=WkR5PD16sCg" xr:uid="{87B21424-9952-48FC-BBA3-B94D6225E31B}"/>
    <hyperlink ref="F488" r:id="rId487" display="https://www.youtube.com/watch?v=wXSD2PQznXI" xr:uid="{FC28C7F2-8D18-4BF1-B407-5277D75DEF57}"/>
    <hyperlink ref="F489" r:id="rId488" display="https://www.youtube.com/watch?v=p4NkqPPh2fk" xr:uid="{7E7DA0B5-0BBE-4520-9E6B-E326C0FBA968}"/>
    <hyperlink ref="F490" r:id="rId489" display="https://www.youtube.com/watch?v=7bZemcM70W0" xr:uid="{BD09E7A8-3112-49BC-B3C7-E3D013AD4C95}"/>
    <hyperlink ref="F491" r:id="rId490" display="https://www.youtube.com/watch?v=GpEk4HU0r2Y" xr:uid="{7A74D8A8-605D-4318-8330-D6AB8F5CDAF6}"/>
    <hyperlink ref="F492" r:id="rId491" display="https://www.youtube.com/watch?v=322EiuTqg7w" xr:uid="{5E4C8FE4-72EF-46CC-9795-1DE58CD6436C}"/>
    <hyperlink ref="F493" r:id="rId492" display="https://www.youtube.com/watch?v=liKAbE7beNI" xr:uid="{A2C30DFD-BAB3-4F6B-8340-1995FCC47A97}"/>
    <hyperlink ref="F494" r:id="rId493" display="https://www.youtube.com/watch?v=3eTjsY7w5kM" xr:uid="{81987D3A-DB42-42D4-88DC-CF3C2E91BA48}"/>
    <hyperlink ref="F495" r:id="rId494" display="https://www.youtube.com/watch?v=afXofZLlzB4" xr:uid="{A369A98B-8278-4654-A563-4D5E74C9E8D9}"/>
    <hyperlink ref="F496" r:id="rId495" display="https://www.youtube.com/watch?v=gtDa8NLyc74" xr:uid="{EE93F102-66F0-49AC-9658-7A7878C24170}"/>
    <hyperlink ref="F497" r:id="rId496" display="https://www.youtube.com/watch?v=zgOMSgegwGk" xr:uid="{FCE2321C-C07B-4F40-8E15-C4466BC835AE}"/>
    <hyperlink ref="F498" r:id="rId497" display="https://www.youtube.com/watch?v=Xk3tQcQ1QcQ" xr:uid="{D7336D4A-9424-49C4-8D5B-05E93EE729EB}"/>
    <hyperlink ref="F499" r:id="rId498" display="https://www.youtube.com/watch?v=MP4mGKSR2-0" xr:uid="{39A1AF2D-13AA-4C86-ACB0-97E211B35DB5}"/>
    <hyperlink ref="F500" r:id="rId499" display="https://www.youtube.com/watch?v=55sjF1l4Hu0" xr:uid="{E6A89939-9305-46B3-BE51-2ABF486CB4AA}"/>
    <hyperlink ref="F501" r:id="rId500" display="https://www.youtube.com/watch?v=LkTTH9gGQwA" xr:uid="{EDE5BA35-D0D3-4107-942D-D246FA08C94F}"/>
    <hyperlink ref="F502" r:id="rId501" display="https://www.youtube.com/watch?v=cuauchPBFCY" xr:uid="{480E131B-727A-4BD5-98A4-D5CF5220EE78}"/>
    <hyperlink ref="F503" r:id="rId502" display="https://www.youtube.com/watch?v=oeJfmsvMRBs" xr:uid="{ABF8C2F6-2956-4A6D-9A6A-E812DE16A57B}"/>
    <hyperlink ref="F504" r:id="rId503" display="https://www.youtube.com/watch?v=vEdOCEkdY9Q" xr:uid="{EE707BBA-DD09-47A0-BA8B-9C6C3DB5C94A}"/>
    <hyperlink ref="F505" r:id="rId504" display="https://www.youtube.com/watch?v=Cv8kec-TugY" xr:uid="{F9140400-8C6C-44DC-A560-86B45E0E1903}"/>
    <hyperlink ref="F506" r:id="rId505" display="https://www.youtube.com/watch?v=Uk3mD3cAFXg" xr:uid="{280ADCD1-5733-456F-9871-BDBD77043248}"/>
    <hyperlink ref="F507" r:id="rId506" display="https://www.youtube.com/watch?v=spEEA-o1zlE" xr:uid="{303B7BBA-E512-4374-A2B1-4791EEDB1EDB}"/>
    <hyperlink ref="F508" r:id="rId507" display="https://www.youtube.com/watch?v=7cA62ZHlWx0" xr:uid="{3554B224-2230-4137-83BD-986C23E07F44}"/>
    <hyperlink ref="F509" r:id="rId508" display="https://www.youtube.com/watch?v=M8Xez56Bg9c" xr:uid="{5E8F970A-C00C-4D60-8801-6A2659FB9BE3}"/>
    <hyperlink ref="F510" r:id="rId509" display="https://www.youtube.com/watch?v=5U64D5B9-O0" xr:uid="{0266B4C6-CFBB-46BC-AD8C-E590DF35AD20}"/>
    <hyperlink ref="F511" r:id="rId510" display="https://www.youtube.com/watch?v=fKsfq4rFzbA" xr:uid="{BB924709-2FBE-4587-9461-9676DEECD116}"/>
    <hyperlink ref="F512" r:id="rId511" display="https://www.youtube.com/watch?v=zKr-cYKprD8" xr:uid="{BB15D9D6-7262-4905-BF82-D43EAC1CA19B}"/>
    <hyperlink ref="F513" r:id="rId512" display="https://www.youtube.com/watch?v=YHee5lF9yPc" xr:uid="{FFE8CF82-40D3-44DD-8082-B42AE30A4593}"/>
    <hyperlink ref="F514" r:id="rId513" display="https://www.youtube.com/watch?v=8xbYHg11ROo" xr:uid="{A7289D9C-0B68-405B-A42D-022A5A4BBEDD}"/>
    <hyperlink ref="F515" r:id="rId514" display="https://www.youtube.com/watch?v=yp1ZVELrxIA" xr:uid="{B393C53D-3287-402E-987C-CD72788D64B7}"/>
    <hyperlink ref="F516" r:id="rId515" display="https://www.youtube.com/watch?v=JkoZriLo3fA" xr:uid="{CD61DA54-DEE3-417E-B10A-D02FE83B5CD2}"/>
    <hyperlink ref="F517" r:id="rId516" display="https://www.youtube.com/watch?v=hPD7CW4JiSA" xr:uid="{C67250A7-D1E1-43B6-9632-B8207AFD043A}"/>
    <hyperlink ref="F518" r:id="rId517" display="https://www.youtube.com/watch?v=wKE7d6nLsDM" xr:uid="{77A43361-1DAE-4898-BF58-C3510C4F5EFD}"/>
    <hyperlink ref="F519" r:id="rId518" display="https://www.youtube.com/watch?v=dlQfycnk550" xr:uid="{5789367E-E53B-41C8-B6DC-4F2EEACACC79}"/>
    <hyperlink ref="F520" r:id="rId519" display="https://www.youtube.com/watch?v=dgXtHzSngX0" xr:uid="{DC2F65F9-E025-4602-96EB-26F984109B64}"/>
    <hyperlink ref="F521" r:id="rId520" display="https://www.youtube.com/watch?v=Xml5nVm8bg0" xr:uid="{4745BB07-DFD2-4DBF-8411-3018A7CA0D96}"/>
    <hyperlink ref="F522" r:id="rId521" display="https://www.youtube.com/watch?v=I6Nwopg3FIw" xr:uid="{2C912558-BBAA-46B8-8105-63613679F103}"/>
    <hyperlink ref="F523" r:id="rId522" display="https://www.youtube.com/watch?v=QT3p6iGNrkU" xr:uid="{99D9D70E-0545-497C-BC29-155837775ADF}"/>
    <hyperlink ref="F524" r:id="rId523" display="https://www.youtube.com/watch?v=DYtc95s7Kpc" xr:uid="{0BE2E460-D62C-41FB-A992-6565A468C029}"/>
    <hyperlink ref="F525" r:id="rId524" display="https://www.youtube.com/watch?v=Lg0JLlBHCgA" xr:uid="{CE61E497-FF46-4AAC-A363-57F8BB94FA41}"/>
    <hyperlink ref="F526" r:id="rId525" display="https://www.youtube.com/watch?v=ZpdQsUkjwMc" xr:uid="{AEB83A19-ADFC-4445-8FBA-1C4C445A91AD}"/>
    <hyperlink ref="F527" r:id="rId526" display="https://www.youtube.com/watch?v=xA9TKhOjY24" xr:uid="{F2F12C58-4998-4D15-A2AE-D497B63FD36A}"/>
    <hyperlink ref="F528" r:id="rId527" display="https://www.youtube.com/watch?v=w2e5eqI49cE" xr:uid="{260E3E17-8CE4-4020-A3F1-5E6C807FB11A}"/>
    <hyperlink ref="F529" r:id="rId528" display="https://www.youtube.com/watch?v=qY5oQOirve4" xr:uid="{4E9C78F0-D511-404E-8511-CECEC39F007A}"/>
    <hyperlink ref="F530" r:id="rId529" display="https://www.youtube.com/watch?v=yMRw4TF7CAk" xr:uid="{FE143D12-64D8-407F-A30A-7A0EEBF8D71C}"/>
    <hyperlink ref="F531" r:id="rId530" display="https://www.youtube.com/watch?v=XCXsh2mfb3M" xr:uid="{54693163-308A-4C73-8F01-F0421E4AABE5}"/>
    <hyperlink ref="F532" r:id="rId531" display="https://www.youtube.com/watch?v=sTYcLqa56Z4" xr:uid="{0AEF1FF8-5E75-4991-A0AD-D49F576B5516}"/>
    <hyperlink ref="F533" r:id="rId532" display="https://www.youtube.com/watch?v=VxI-y4zU4YE" xr:uid="{A7BC9284-F6AB-465F-B335-F49A3B6F01BA}"/>
    <hyperlink ref="F534" r:id="rId533" display="https://www.youtube.com/watch?v=kKbQvD24QPY" xr:uid="{17E58CA4-6BCE-46BD-9AA5-E1705B722A68}"/>
    <hyperlink ref="F535" r:id="rId534" display="https://www.youtube.com/watch?v=A6j1KcojG0E" xr:uid="{BBE2634A-FB58-4E42-8298-BDB5F69F399C}"/>
    <hyperlink ref="F536" r:id="rId535" display="https://www.youtube.com/watch?v=wzPkggokfLg" xr:uid="{B8C56C13-4902-49F2-8EA8-8C20AA933299}"/>
    <hyperlink ref="F537" r:id="rId536" display="https://www.youtube.com/watch?v=dJ9wpyiJSSI" xr:uid="{9076B88B-67BD-4489-AAE5-90CF10C018C1}"/>
    <hyperlink ref="F538" r:id="rId537" display="https://www.youtube.com/watch?v=0DBc4TKwgDc" xr:uid="{70C7FDBA-3C3D-40F1-A639-C59CA99AE08E}"/>
    <hyperlink ref="F539" r:id="rId538" display="https://www.youtube.com/watch?v=AjEKOFHh4yM" xr:uid="{951DAFC5-52B2-4F8C-8CE4-486C829EEB4D}"/>
    <hyperlink ref="F540" r:id="rId539" display="https://www.youtube.com/watch?v=FQmwAFcJSpw" xr:uid="{174AA4DA-8E8A-4F12-A488-FD5D5F4A940C}"/>
    <hyperlink ref="F541" r:id="rId540" display="https://www.youtube.com/watch?v=Kg7UNGe9lik" xr:uid="{BB00C232-030C-479B-A021-D6EA240045FA}"/>
    <hyperlink ref="F542" r:id="rId541" display="https://www.youtube.com/watch?v=_OTzuNIDOOA" xr:uid="{A15A8380-C40F-4040-9C0A-6A50E41A670B}"/>
    <hyperlink ref="F543" r:id="rId542" display="https://www.youtube.com/watch?v=VJZ4LARPMJU&amp;t=79s" xr:uid="{192DD397-8C68-4FDB-B50B-7E22447EEA46}"/>
    <hyperlink ref="F544" r:id="rId543" display="https://www.youtube.com/watch?v=V-N1KdB7QTg" xr:uid="{2ED3C6F1-DA05-4BF6-8A57-14795F0CD4A8}"/>
    <hyperlink ref="F545" r:id="rId544" display="https://www.youtube.com/watch?v=4fTC0cZiBus" xr:uid="{1E0566FE-4F45-4731-B71E-D907D831528A}"/>
    <hyperlink ref="F546" r:id="rId545" display="https://www.youtube.com/watch?v=G1vj3YNYQYg" xr:uid="{D8E7AB26-CDBD-4F81-B86D-47C09D817EC0}"/>
    <hyperlink ref="F547" r:id="rId546" display="https://www.youtube.com/watch?v=Ly_KKukp01g" xr:uid="{01ADA5AF-F6EB-4F15-856B-CD33B510BFEE}"/>
    <hyperlink ref="F548" r:id="rId547" display="https://www.youtube.com/watch?v=yB7P6V4_zUw" xr:uid="{6B9E62D3-409F-4E5A-AAFB-D4563D22EC8D}"/>
    <hyperlink ref="F549" r:id="rId548" display="https://www.youtube.com/watch?v=xjoBDX3u1Ys" xr:uid="{D4278CEE-708A-40F7-BB01-5B4924FC7389}"/>
    <hyperlink ref="F550" r:id="rId549" display="https://www.youtube.com/watch?v=hFK3wIxZt3g" xr:uid="{583C22B9-83FB-41A1-B969-740C729B65B0}"/>
    <hyperlink ref="F551" r:id="rId550" display="https://www.youtube.com/watch?v=gL_j5YKKN38" xr:uid="{3A74B754-8173-416F-A84E-081C26A87351}"/>
    <hyperlink ref="F552" r:id="rId551" display="https://www.youtube.com/watch?v=J2klGHwzFFo" xr:uid="{FFE7D1CD-6803-4676-BAAE-BCF8BA3EF04B}"/>
    <hyperlink ref="F553" r:id="rId552" display="https://www.youtube.com/watch?v=ebsBucPcYoU" xr:uid="{1A451A75-5ACB-4479-BCB2-A152B321A4BE}"/>
    <hyperlink ref="F554" r:id="rId553" display="https://www.youtube.com/watch?v=orOA4dPxE98" xr:uid="{545D8C71-9BDF-4D16-99E5-A44C8F0AB1BB}"/>
    <hyperlink ref="F555" r:id="rId554" display="https://www.youtube.com/watch?v=go47jpA5M1A" xr:uid="{52BF4FBF-431A-4ADB-8FFC-9FEC0419E4FC}"/>
    <hyperlink ref="F556" r:id="rId555" display="https://www.youtube.com/watch?v=dlfE6JbvIYI" xr:uid="{6F0E210E-7DFF-4E80-8CC1-24781BFEE931}"/>
    <hyperlink ref="F557" r:id="rId556" display="https://www.youtube.com/watch?v=1VZl4rtt2aU" xr:uid="{8F8B4005-10DD-4D76-ABD6-06E7D13D3795}"/>
    <hyperlink ref="F558" r:id="rId557" display="https://www.youtube.com/watch?v=cUULt5zHp0k" xr:uid="{177406FF-7DAF-4497-9B1E-1F4924A91FA0}"/>
    <hyperlink ref="F559" r:id="rId558" display="https://www.youtube.com/watch?v=BNly0XIZX6c" xr:uid="{E2DCE282-BC89-4970-9EBD-45AB2C4B7BAE}"/>
    <hyperlink ref="F560" r:id="rId559" display="https://www.youtube.com/watch?v=C3knBzrgTTY" xr:uid="{879B9E60-F3E4-45C1-ABB7-9BDCCA481691}"/>
    <hyperlink ref="F561" r:id="rId560" display="https://www.youtube.com/watch?v=w1UAQGgnz4A" xr:uid="{DBF94657-E5D7-4075-8DEC-CAB65D024CFC}"/>
    <hyperlink ref="F562" r:id="rId561" display="https://www.youtube.com/watch?v=1-5q-Da6EHQ" xr:uid="{0315E613-E488-4332-87F7-91B5E0E73D58}"/>
    <hyperlink ref="F563" r:id="rId562" display="https://www.youtube.com/watch?v=JcNaFHIozC4" xr:uid="{F6FF3EA9-2B4D-4E0C-A891-0F8E1951F16A}"/>
    <hyperlink ref="F564" r:id="rId563" display="https://www.youtube.com/watch?v=3zpg3MGhmyI" xr:uid="{B7A8A094-CFAE-43F5-8DF0-4F53C0AEFE0C}"/>
    <hyperlink ref="F565" r:id="rId564" display="https://www.youtube.com/watch?v=QrVLpFoGRb4" xr:uid="{62FC66D6-BAAC-482F-ACE1-92600879F44A}"/>
    <hyperlink ref="F566" r:id="rId565" display="https://www.youtube.com/watch?v=yCrftsxElf8" xr:uid="{9089F3B9-D92F-44D6-9734-038B3834E027}"/>
    <hyperlink ref="F567" r:id="rId566" display="https://www.youtube.com/watch?v=c0qRokhkADI" xr:uid="{5011B07E-DFD6-446E-9B3C-348F75BD5365}"/>
    <hyperlink ref="F568" r:id="rId567" display="https://www.youtube.com/watch?v=AcHVZjv6cAs" xr:uid="{52E6FEEC-F2A6-4B2D-9099-61C1B1E75678}"/>
    <hyperlink ref="F569" r:id="rId568" display="https://www.youtube.com/watch?v=P1Eurn7tEJM" xr:uid="{B0B96F77-1A0F-47B7-AF3D-78B9ED9EECF1}"/>
    <hyperlink ref="F570" r:id="rId569" display="https://www.youtube.com/watch?v=GDQ-FTObhak" xr:uid="{0356F6B4-1EFB-46FD-BDFE-AE49DEFEACAC}"/>
    <hyperlink ref="F571" r:id="rId570" display="https://www.youtube.com/watch?v=5P0vjP1Hdvs" xr:uid="{C617CEBD-6EC2-4255-928F-75C5D1ED1E1C}"/>
    <hyperlink ref="F572" r:id="rId571" display="https://www.youtube.com/watch?v=OAcu0ZHtcXc" xr:uid="{426C5DE5-B7D4-4528-AC5F-C61843AE564F}"/>
    <hyperlink ref="F573" r:id="rId572" display="https://www.youtube.com/watch?v=F4X3ljkLFP8" xr:uid="{EE4F1875-8530-4005-BF0F-644001556F40}"/>
    <hyperlink ref="F574" r:id="rId573" display="https://www.youtube.com/watch?v=_VfaX30ncIU" xr:uid="{32DF4A2B-0554-4489-ADE9-11AD836BA5F0}"/>
    <hyperlink ref="F575" r:id="rId574" display="https://www.youtube.com/watch?v=JDOBTQ94-S4" xr:uid="{C5D0C21F-3ABD-4BC3-96EE-ED7D34666AC4}"/>
    <hyperlink ref="F576" r:id="rId575" display="https://www.youtube.com/watch?v=5tMCiwnQlXM" xr:uid="{517149EC-7968-4B7D-8E0A-82EDCC2D2902}"/>
    <hyperlink ref="F577" r:id="rId576" display="https://www.youtube.com/watch?v=61VsCIaQhX4" xr:uid="{5ABE4082-D091-414A-8011-5109BA8D42BE}"/>
    <hyperlink ref="F578" r:id="rId577" display="https://www.youtube.com/watch?v=o4_iAmYXDzg" xr:uid="{9F8C5007-E083-4FDE-944E-6E6770D522E3}"/>
    <hyperlink ref="F579" r:id="rId578" display="https://www.youtube.com/watch?v=bF-3L4O8Nq8" xr:uid="{E0022FDB-C8CA-4D9C-B5F6-C047BE5E6D66}"/>
    <hyperlink ref="F580" r:id="rId579" display="https://www.youtube.com/watch?v=5c75GXSIdlM" xr:uid="{DE7D76B1-AF50-4BE6-9143-52C30569BA35}"/>
    <hyperlink ref="F581" r:id="rId580" display="https://www.youtube.com/watch?v=KXamV4OZjYs" xr:uid="{EF548519-F8E4-4ADC-89F4-267D5935A400}"/>
    <hyperlink ref="F582" r:id="rId581" display="https://www.youtube.com/watch?v=rbrxzObExNc" xr:uid="{ADE6C30A-3A16-4BA2-83F1-0E72299C309B}"/>
    <hyperlink ref="F583" r:id="rId582" display="https://www.youtube.com/watch?v=G6rcMSQ1UVE" xr:uid="{5007331E-917A-4947-B37D-903441333920}"/>
    <hyperlink ref="F584" r:id="rId583" display="https://www.youtube.com/watch?v=mK5DuxKw-I8" xr:uid="{78CC3DD6-9C61-4536-A6CE-FF78C289CFBC}"/>
    <hyperlink ref="F585" r:id="rId584" display="https://www.youtube.com/watch?v=zV5AbsAy5m4" xr:uid="{0E6A8065-DD4C-4907-8A0C-FF46BC6E599A}"/>
    <hyperlink ref="F586" r:id="rId585" display="https://www.youtube.com/watch?v=dzUx3zUv_yw" xr:uid="{D943CC00-3772-4AD5-B4B4-DD3559803459}"/>
    <hyperlink ref="F587" r:id="rId586" display="https://www.youtube.com/watch?v=5iT09vIaZOU" xr:uid="{7361B843-050F-4C91-B7F7-23D14A4913C1}"/>
    <hyperlink ref="F588" r:id="rId587" display="https://www.youtube.com/watch?v=inpmzGJn2LU" xr:uid="{ECFE1AB6-F474-4610-B54B-097CFB4029E7}"/>
    <hyperlink ref="F589" r:id="rId588" display="https://www.youtube.com/watch?v=wXoImJcJYxQ" xr:uid="{699F9CD1-8D1E-4079-B47F-9BE651299B0E}"/>
    <hyperlink ref="F590" r:id="rId589" display="https://www.youtube.com/watch?v=aASsLwbe6kY" xr:uid="{014E421B-016D-4C39-B176-2F67D2AFBC3D}"/>
    <hyperlink ref="F591" r:id="rId590" display="https://www.youtube.com/watch?v=bFIqLn3c85c" xr:uid="{00897467-8622-4338-8638-4F440070ED66}"/>
    <hyperlink ref="F592" r:id="rId591" display="https://www.youtube.com/watch?v=PWZrF-TGsWo" xr:uid="{627D678C-CC71-460D-A4AF-74B0E2C9F361}"/>
    <hyperlink ref="F593" r:id="rId592" display="https://www.youtube.com/watch?v=S2ePhtW_O5A" xr:uid="{26175765-9B65-4A26-A9EC-DA0E66F819FE}"/>
    <hyperlink ref="F594" r:id="rId593" display="https://www.youtube.com/watch?v=6aJLKt2nXsg" xr:uid="{C32938CB-BDF4-4964-AF78-6C9392AAA233}"/>
    <hyperlink ref="F595" r:id="rId594" display="https://www.youtube.com/watch?v=tRgTeYpgv8c" xr:uid="{F9AF17B0-F3D8-4FE5-99C2-C9097B493ECD}"/>
    <hyperlink ref="F596" r:id="rId595" display="https://www.youtube.com/watch?v=txsij6WXt8s" xr:uid="{E240571F-76B6-4F47-834C-0EB0CEF6F6E8}"/>
    <hyperlink ref="F597" r:id="rId596" display="https://www.youtube.com/watch?v=AefxKKTqv5I" xr:uid="{329D99A7-BECC-436D-A159-C4BB2B770C93}"/>
    <hyperlink ref="F598" r:id="rId597" display="https://www.youtube.com/watch?v=7gTT37SeSUc" xr:uid="{9407B0C8-25EF-418B-BC03-445BF92A28E1}"/>
    <hyperlink ref="F599" r:id="rId598" display="https://www.youtube.com/watch?v=o-395A-OrOQ" xr:uid="{3D7E9B2E-C8F4-4016-9356-F525F1AFAFCF}"/>
    <hyperlink ref="F600" r:id="rId599" display="https://www.youtube.com/watch?v=qYA9DVNkOCA" xr:uid="{F64E0DBC-371B-4D23-8C9A-A62FB67F4910}"/>
    <hyperlink ref="F601" r:id="rId600" display="https://www.youtube.com/watch?v=-JT1qlD0wPQ" xr:uid="{E0B2E2E4-85FC-44AA-8E61-D3BCD991D6F2}"/>
    <hyperlink ref="F602" r:id="rId601" display="https://www.youtube.com/watch?v=kSNHRGhGt_Y" xr:uid="{FB754867-BD0D-4DFE-93E0-935BA3F0869B}"/>
    <hyperlink ref="F603" r:id="rId602" display="https://www.youtube.com/watch?v=adov37an6hU" xr:uid="{783A5905-DA42-468E-84B7-4C792CEC9F6B}"/>
    <hyperlink ref="F604" r:id="rId603" display="https://www.youtube.com/watch?v=glBt8I5y1b8" xr:uid="{B10486BD-10E2-42DA-9DB4-F65CAA25EBF7}"/>
    <hyperlink ref="F605" r:id="rId604" display="https://www.youtube.com/watch?v=a_HGSrmF_8w" xr:uid="{673465E6-8C07-42FD-A16E-1EF75C15369B}"/>
    <hyperlink ref="F606" r:id="rId605" display="https://www.youtube.com/watch?v=Kfqplhug-eA" xr:uid="{CEC334C3-FB2D-407A-BFF4-B337C63F06B1}"/>
    <hyperlink ref="F607" r:id="rId606" display="https://www.youtube.com/watch?v=AgRVHML48XM" xr:uid="{F8D8030D-DF95-4952-B571-77EC1DA0F059}"/>
    <hyperlink ref="F608" r:id="rId607" display="https://www.youtube.com/watch?v=2Hmcjz_IH8I" xr:uid="{7BAC3693-64E8-4F05-B205-CFBF27918104}"/>
    <hyperlink ref="F609" r:id="rId608" display="https://www.youtube.com/watch?v=xuKnWRKpLyM" xr:uid="{E0F2B2E2-1064-47DC-AC99-622399D0FD3F}"/>
    <hyperlink ref="F610" r:id="rId609" display="https://www.youtube.com/watch?v=2U1DVGO8vo4" xr:uid="{C35C00FB-8B59-4E25-A24C-DC870828B5DA}"/>
    <hyperlink ref="F611" r:id="rId610" display="https://www.youtube.com/watch?v=xhcu0nbcfy0" xr:uid="{8C4AE6D6-CCEA-410B-90EF-7E1BE8988070}"/>
    <hyperlink ref="F612" r:id="rId611" display="https://www.youtube.com/watch?v=lJLoAHZxMWE" xr:uid="{E45D8ED1-7938-44F4-A307-40FFB7D26D4C}"/>
    <hyperlink ref="F613" r:id="rId612" display="https://www.youtube.com/watch?v=dSKwv3KOvN8" xr:uid="{C4B8CD4D-C465-4A48-9DEB-4FB025CC8D3A}"/>
    <hyperlink ref="F614" r:id="rId613" display="https://www.youtube.com/watch?v=t5tjD9qq-98" xr:uid="{5B76E051-2DFC-4604-8399-2A06905807E9}"/>
    <hyperlink ref="F615" r:id="rId614" display="https://www.youtube.com/watch?v=LEotomBnsQk" xr:uid="{3C07FECB-504F-4C74-83CD-40546A18F5C1}"/>
    <hyperlink ref="F616" r:id="rId615" display="https://www.youtube.com/watch?v=tpUBWJjtzrA" xr:uid="{C5FF43C1-ECA5-4318-AF61-5918FD8D432E}"/>
    <hyperlink ref="F617" r:id="rId616" display="https://www.youtube.com/watch?v=Cuelsn9VyZQ" xr:uid="{0D12194C-9CC6-4484-BC9F-64000DDCC3C7}"/>
    <hyperlink ref="F618" r:id="rId617" display="https://www.youtube.com/watch?v=IQCY6tVgZ9s" xr:uid="{3DF52F4D-DDC8-4FC8-A772-26F9E81F73C3}"/>
    <hyperlink ref="F619" r:id="rId618" display="https://www.youtube.com/watch?v=xVrbpqr1LEE" xr:uid="{7984E81C-112E-4D46-8F34-3482BFF1028D}"/>
    <hyperlink ref="F620" r:id="rId619" display="https://www.youtube.com/watch?v=kZVT_WU4Pm4" xr:uid="{07269FCD-91F4-4B6A-A3CC-B383909252F5}"/>
    <hyperlink ref="F621" r:id="rId620" display="https://www.youtube.com/watch?v=5HrBZvxcPmY" xr:uid="{374AC1B0-7E7B-4875-9228-8DF88E0153B2}"/>
    <hyperlink ref="F622" r:id="rId621" display="https://www.youtube.com/watch?v=KdiEMEbTV1M" xr:uid="{3C53FB98-0CAF-40E0-BC67-78090163D5D8}"/>
    <hyperlink ref="F623" r:id="rId622" display="https://www.youtube.com/watch?v=9Zummy0j6Ws" xr:uid="{F67F3504-3A5A-40EE-B871-C48CD919FED7}"/>
    <hyperlink ref="F624" r:id="rId623" display="https://www.youtube.com/watch?v=9VsQzAI5PLo" xr:uid="{806E6436-1BC9-4081-8C70-F08C67898569}"/>
    <hyperlink ref="F625" r:id="rId624" display="https://www.youtube.com/watch?v=ZwiLQGKP--A" xr:uid="{C75A4536-5DDD-49AC-9710-CC20AF02C742}"/>
    <hyperlink ref="F626" r:id="rId625" display="https://www.youtube.com/watch?v=fmVDyQnLFe4" xr:uid="{8061261C-9C6E-4DF2-BFAB-CF1CF27BA3F3}"/>
    <hyperlink ref="F627" r:id="rId626" display="https://www.youtube.com/watch?v=ohUG8LIy7Cs" xr:uid="{93B1FA07-4188-4613-98DF-87C32C020989}"/>
    <hyperlink ref="F628" r:id="rId627" display="https://www.youtube.com/watch?v=WfJvOgXp9SM" xr:uid="{F9729C67-5FEF-4C5F-9910-ED6D94E93A7C}"/>
    <hyperlink ref="F629" r:id="rId628" display="https://www.youtube.com/watch?v=_vKbwIOfXy0" xr:uid="{AEF53307-FEB1-466A-9795-3073C45BAF0F}"/>
    <hyperlink ref="F630" r:id="rId629" display="https://www.youtube.com/watch?v=NNu6sJz2cPI" xr:uid="{A0DA135B-7863-42EE-9D3D-1AAB3D9D93C3}"/>
    <hyperlink ref="F631" r:id="rId630" display="https://www.youtube.com/watch?v=Deab_JE4fv4" xr:uid="{A0CCFF9E-68A6-4608-85E0-F50EB39BD911}"/>
    <hyperlink ref="F632" r:id="rId631" display="https://www.youtube.com/watch?v=GiNhw1WJNXc" xr:uid="{248B64BA-75E5-4339-B8FA-FD1D9A9C1689}"/>
    <hyperlink ref="F633" r:id="rId632" display="https://www.youtube.com/watch?v=NRep5rGd_FU" xr:uid="{7BEB0FA6-73C8-46ED-855F-5248DA27FA15}"/>
    <hyperlink ref="F634" r:id="rId633" display="https://www.youtube.com/watch?v=gF2CbaL7t6g" xr:uid="{628BDFDA-302A-427D-AFF4-007535BFAEE7}"/>
    <hyperlink ref="F635" r:id="rId634" display="https://www.youtube.com/watch?v=GB9g4sKWR0M" xr:uid="{04536D9C-6020-4462-BDE6-A32275E2F95D}"/>
    <hyperlink ref="F636" r:id="rId635" display="https://www.youtube.com/watch?v=AB0KeX_0T2I" xr:uid="{33B6D340-52E6-41C8-B57F-2C1E0285EB73}"/>
    <hyperlink ref="F637" r:id="rId636" display="https://www.youtube.com/watch?v=VDqAX3plBww" xr:uid="{CDE89FE2-C860-4415-AA34-4D3982D1CACE}"/>
    <hyperlink ref="F638" r:id="rId637" display="https://www.youtube.com/watch?v=Hqx5Pfe-4NI" xr:uid="{10370D3C-E71F-4E77-A29C-D19C53774DBA}"/>
    <hyperlink ref="F639" r:id="rId638" display="https://www.youtube.com/watch?v=rAWCL2ENS90" xr:uid="{9D914A3C-38E9-4A54-8A5B-BE62FF35074A}"/>
    <hyperlink ref="F640" r:id="rId639" display="https://www.youtube.com/watch?v=47hxgUfQ8jo" xr:uid="{C32894A1-0189-4A9B-A480-1A4A5CB35960}"/>
    <hyperlink ref="F641" r:id="rId640" display="https://www.youtube.com/watch?v=EMznloyYysU" xr:uid="{0B81873A-7A5E-47A3-A1BB-41EAC3470307}"/>
    <hyperlink ref="F642" r:id="rId641" display="https://www.youtube.com/watch?v=Xsq9jAEpAY8" xr:uid="{0375A2A7-D6BB-4274-B745-8B48086B2631}"/>
    <hyperlink ref="F643" r:id="rId642" display="https://www.youtube.com/watch?v=-HWLO-7d98U" xr:uid="{B218DF4B-BC02-4C7A-8E71-65935BE1D031}"/>
    <hyperlink ref="F644" r:id="rId643" display="https://www.youtube.com/watch?v=xAx9rKxKjCk" xr:uid="{38A8CEAF-DF63-46AB-8144-CD890B500535}"/>
    <hyperlink ref="F645" r:id="rId644" display="https://www.youtube.com/watch?v=pIn71L7Kv9Q" xr:uid="{FA13850B-1E9F-4C27-94D0-FE24694BF24A}"/>
    <hyperlink ref="F646" r:id="rId645" display="https://www.youtube.com/watch?v=9oRLNbl-DxI" xr:uid="{6C5E09C9-C50B-49D2-94B0-423DC5523CEA}"/>
    <hyperlink ref="F647" r:id="rId646" display="https://www.youtube.com/watch?v=ZhuUYD3QvB8" xr:uid="{A72A44DE-1369-4291-96BD-CB523C4FBC4E}"/>
    <hyperlink ref="F648" r:id="rId647" display="https://www.youtube.com/watch?v=G2ke7Higm-Y" xr:uid="{5C67BFAC-B6A3-4B78-AADF-30DFB33A8820}"/>
    <hyperlink ref="F649" r:id="rId648" display="https://www.youtube.com/watch?v=FTdLV7hcCvI" xr:uid="{8A203A9E-8E93-42D5-911A-57DC2B50430C}"/>
    <hyperlink ref="F650" r:id="rId649" display="https://www.youtube.com/watch?v=FQ3dpY5j5y8" xr:uid="{557A7AEF-F39D-4960-878F-0E67838A2189}"/>
    <hyperlink ref="F651" r:id="rId650" display="https://www.youtube.com/watch?v=iGqKIfGTc-s" xr:uid="{D3524E3F-66C4-4EA9-A790-C9422C4563C4}"/>
    <hyperlink ref="F652" r:id="rId651" display="https://www.youtube.com/watch?v=ejkbEib1Otk" xr:uid="{3CEDC4B5-3BE1-439F-939E-931A85C9D289}"/>
    <hyperlink ref="F653" r:id="rId652" display="https://www.youtube.com/watch?v=4PxIlOKBbng" xr:uid="{5AFB82FA-FF21-48F2-B288-B80F41F81D47}"/>
    <hyperlink ref="F654" r:id="rId653" display="https://www.youtube.com/watch?v=9fu_xDvkBMk" xr:uid="{7EF7F475-B1FA-495A-8F1C-F806CFCFC6F2}"/>
    <hyperlink ref="F655" r:id="rId654" display="https://www.youtube.com/watch?v=s_eR4_6kip8" xr:uid="{8CE1607F-A460-44C2-B438-42B97C407B92}"/>
    <hyperlink ref="F656" r:id="rId655" display="https://www.youtube.com/watch?v=C-AklzjB96w" xr:uid="{6EC4BFDC-5FC6-40B0-9C65-029220D3664C}"/>
    <hyperlink ref="F657" r:id="rId656" display="https://www.youtube.com/watch?v=CLCX0mlWjw0" xr:uid="{25A369D3-280B-4315-B492-8B05942D1764}"/>
    <hyperlink ref="F658" r:id="rId657" display="https://www.youtube.com/watch?v=5XqO9FCH3Xk" xr:uid="{C7B4192E-8C29-4753-9244-132DB3E35763}"/>
    <hyperlink ref="F659" r:id="rId658" display="https://www.youtube.com/watch?v=4xWwhXcAjhU" xr:uid="{1523E3DC-8078-4702-8534-ACB7DE2B4720}"/>
    <hyperlink ref="F660" r:id="rId659" display="https://www.youtube.com/watch?v=KStzrk3h76o" xr:uid="{7A15D362-6470-4457-83A8-9E623E59C662}"/>
    <hyperlink ref="F661" r:id="rId660" display="https://www.youtube.com/watch?v=udY03G3fVJQ" xr:uid="{9EEBFB48-79F8-4A28-B80D-962B65D266DF}"/>
    <hyperlink ref="F662" r:id="rId661" display="https://www.youtube.com/watch?v=1UT4aCq24wA" xr:uid="{A1C20EDA-4B60-47A9-A155-E76A9CEF2E23}"/>
    <hyperlink ref="F663" r:id="rId662" display="https://www.youtube.com/watch?v=JkMKDP2BOlw&amp;t=169s" xr:uid="{C9B01F7F-2510-4DFE-BEE4-51632EC10FE3}"/>
    <hyperlink ref="F664" r:id="rId663" display="https://www.youtube.com/watch?v=a6bj2Qddmzk" xr:uid="{FCC8D45E-DE2C-47A4-818D-9989A133D22F}"/>
    <hyperlink ref="F665" r:id="rId664" display="https://www.youtube.com/watch?v=qEJJIhs02cI" xr:uid="{1874D61E-A268-44DD-B690-4D03E098B83E}"/>
    <hyperlink ref="F666" r:id="rId665" display="https://www.youtube.com/watch?v=v2dy-2T9kRE" xr:uid="{68F66E0C-BFA7-42D3-95ED-DF108A534A04}"/>
    <hyperlink ref="F667" r:id="rId666" display="https://www.youtube.com/watch?v=REfOblHmn6Q" xr:uid="{05984421-2D08-4400-B6FB-624900255711}"/>
    <hyperlink ref="F668" r:id="rId667" display="https://www.youtube.com/watch?v=8Fyp5gw_HGc&amp;t=19s" xr:uid="{6BF174BC-80B7-4DE2-A855-15ACFA55D196}"/>
    <hyperlink ref="F669" r:id="rId668" display="https://www.youtube.com/watch?v=xl6nyKVDNCQ" xr:uid="{DC076D30-6555-49A7-8984-92AE80982F04}"/>
    <hyperlink ref="F670" r:id="rId669" display="https://www.youtube.com/watch?v=ll-fhgVbj1I" xr:uid="{646F45C5-DCEA-4A30-B83A-3BC8F8ED3BFE}"/>
    <hyperlink ref="F671" r:id="rId670" display="https://www.youtube.com/watch?v=1uNyxmccf1U" xr:uid="{A73420E2-46E6-4449-A0B0-5D334F2FC5E5}"/>
    <hyperlink ref="F672" r:id="rId671" display="https://www.youtube.com/watch?v=NMCXHN1fW9k" xr:uid="{30B07585-5D8B-4592-9F32-F8FBB4189D7F}"/>
    <hyperlink ref="F673" r:id="rId672" display="https://www.youtube.com/watch?v=NeCQOUox8zc" xr:uid="{E5226F51-C801-449B-8527-2143C4A6FC11}"/>
    <hyperlink ref="F674" r:id="rId673" display="https://www.youtube.com/watch?v=3vhgcNKVRgY" xr:uid="{2481C898-609B-4AC4-AF40-730C3F6FD582}"/>
    <hyperlink ref="F675" r:id="rId674" display="https://www.youtube.com/watch?v=gPdm-EF13GU" xr:uid="{C52D1690-5E8D-4F39-8533-B42E4141F812}"/>
    <hyperlink ref="F676" r:id="rId675" display="https://www.youtube.com/watch?v=wYCmU0vaKvc" xr:uid="{14F1BCA8-AF98-4ACC-930C-E3031D92B9DF}"/>
    <hyperlink ref="F677" r:id="rId676" display="https://www.youtube.com/watch?v=wu_ONpNjikY" xr:uid="{DF25099F-5238-49A4-A118-08905A30ED8E}"/>
    <hyperlink ref="F678" r:id="rId677" display="https://www.youtube.com/watch?v=6ufhk6JL8x8" xr:uid="{B14D8436-9D30-4705-A3AD-47D7F8453051}"/>
    <hyperlink ref="F679" r:id="rId678" display="https://www.youtube.com/watch?v=S9RImbEoWYA" xr:uid="{7A05548A-2C6B-4262-B603-A803E114C7D4}"/>
    <hyperlink ref="F680" r:id="rId679" display="https://www.youtube.com/watch?v=D7yIybTWmmU" xr:uid="{499FB1FF-CE14-4D76-8789-B2C3F8697326}"/>
    <hyperlink ref="F681" r:id="rId680" display="https://www.youtube.com/watch?v=EfHkupTL5wU" xr:uid="{9558BBAB-4242-4819-BE04-55564D197E83}"/>
    <hyperlink ref="F682" r:id="rId681" display="https://www.youtube.com/watch?v=4pkD8CkJiIQ" xr:uid="{CD7B411D-073B-4391-BC95-1234D3F14A62}"/>
    <hyperlink ref="F683" r:id="rId682" display="https://www.youtube.com/watch?v=uTyoGVNa7FA" xr:uid="{4F049E8E-8125-4D7A-B51F-0EC566D52295}"/>
    <hyperlink ref="F684" r:id="rId683" display="https://www.youtube.com/watch?v=xkyySDtO5HU" xr:uid="{E86AA36E-A60F-4C5E-B469-5A03D77D6BD0}"/>
    <hyperlink ref="F685" r:id="rId684" display="https://www.youtube.com/watch?v=VkyOIj4SQu4" xr:uid="{0D5C197F-CF6C-467F-AD24-8BD517BED5BB}"/>
    <hyperlink ref="F686" r:id="rId685" display="https://www.youtube.com/watch?v=GCo89ggyUKw" xr:uid="{8281A66F-667B-4379-88A8-7E5FC122DB0E}"/>
    <hyperlink ref="F687" r:id="rId686" display="https://www.youtube.com/watch?v=vOOkxcKaZEo" xr:uid="{71B45D01-C08D-4CC7-B1E3-D10C772D411C}"/>
    <hyperlink ref="F688" r:id="rId687" display="https://www.youtube.com/watch?v=aRzq_l_Rmcc" xr:uid="{82377B13-C4A9-43E8-8C1C-65449E46CAF0}"/>
    <hyperlink ref="F689" r:id="rId688" display="https://www.youtube.com/watch?v=iZ6Xk9YCaaY" xr:uid="{C67B3857-F89C-41A7-A42E-367F8B9E424B}"/>
    <hyperlink ref="F690" r:id="rId689" display="https://www.youtube.com/watch?v=ozdJ_kTaZcc" xr:uid="{393C75BE-8CC3-4242-8885-D9921F7AE3CB}"/>
    <hyperlink ref="F691" r:id="rId690" display="https://www.youtube.com/watch?v=Q7TqlnXF3cA" xr:uid="{692ECD40-35DD-490A-ABEB-D57B5F033DA3}"/>
    <hyperlink ref="F692" r:id="rId691" display="https://www.youtube.com/watch?v=_nyKGkDh6WM" xr:uid="{144CAF33-B0BD-4831-82DD-9E22B25C8576}"/>
    <hyperlink ref="F693" r:id="rId692" display="https://www.youtube.com/watch?v=log0y9fRklc" xr:uid="{960B047A-49DD-4A92-BDFA-4ACDF39F1FB1}"/>
    <hyperlink ref="F694" r:id="rId693" display="https://www.youtube.com/watch?v=74BW9K7eGtY&amp;t=21s" xr:uid="{95F5D1C1-2250-4BF7-9445-5A476AFC7D55}"/>
    <hyperlink ref="F695" r:id="rId694" display="https://www.youtube.com/watch?v=gzOZ5Lo3n9Y" xr:uid="{6844BA1E-FDFB-4C22-B5A8-072C7B17C0C5}"/>
    <hyperlink ref="F696" r:id="rId695" display="https://www.youtube.com/watch?v=2yRygpW0RYY" xr:uid="{4B9E646C-829E-4AE0-AD83-02430027B999}"/>
    <hyperlink ref="F697" r:id="rId696" display="https://www.youtube.com/watch?v=Y3j3g76ggFE" xr:uid="{8134158F-76E3-42C7-B2BC-20A62F1EA26A}"/>
    <hyperlink ref="F698" r:id="rId697" display="https://www.youtube.com/watch?v=bMOOUhzJreA" xr:uid="{94066482-B397-4F0E-B6A5-D767F67B5981}"/>
    <hyperlink ref="F699" r:id="rId698" display="https://www.youtube.com/watch?v=WzACbsbv3Mc" xr:uid="{DC1173B0-F75E-4549-9DDD-00EF27621957}"/>
    <hyperlink ref="F700" r:id="rId699" display="https://www.youtube.com/watch?v=0W0XxcsCH_0" xr:uid="{84BF0B69-3F0F-4C62-BCC4-CF6C3B434C8A}"/>
    <hyperlink ref="F701" r:id="rId700" display="https://www.youtube.com/watch?v=a30EnICYBUA" xr:uid="{6A48A34A-77CD-49A4-B68E-1918C80B910E}"/>
    <hyperlink ref="F702" r:id="rId701" display="https://www.youtube.com/watch?v=Wr_CIMPuH3I" xr:uid="{EBB738D3-E2CF-46C4-A073-B42531D596AC}"/>
    <hyperlink ref="F703" r:id="rId702" display="https://www.youtube.com/watch?v=w1panKQ58dU" xr:uid="{D989B4BA-74A0-4568-8BF9-62C9BA146EBA}"/>
    <hyperlink ref="F704" r:id="rId703" display="https://www.youtube.com/watch?v=N20dY0-9Nio" xr:uid="{872CE3C2-ACD2-4CAA-8556-D5D9A251210C}"/>
    <hyperlink ref="F705" r:id="rId704" display="https://www.youtube.com/watch?v=mxQpJeckKaU" xr:uid="{6978736B-8DF2-4989-98CA-B4D6C1B6B0D0}"/>
    <hyperlink ref="F706" r:id="rId705" display="https://www.youtube.com/watch?v=3dgPn1KOovw" xr:uid="{A21AD897-0F64-4C45-99E1-F3E8E0D86A31}"/>
    <hyperlink ref="F707" r:id="rId706" display="https://www.youtube.com/watch?v=Aivw6qVhabo" xr:uid="{22DB3D23-C20A-49A2-A7D7-B5596300D0CF}"/>
    <hyperlink ref="F708" r:id="rId707" display="https://www.youtube.com/watch?v=av1BWeMbl1Q" xr:uid="{482D416B-2BF6-4D89-8DEA-12B85F8F3DB6}"/>
    <hyperlink ref="F709" r:id="rId708" display="https://www.youtube.com/watch?v=dLQSHM_T-jI" xr:uid="{B9F6BFA6-55DE-4730-B85B-10562520B463}"/>
    <hyperlink ref="F710" r:id="rId709" display="https://www.youtube.com/watch?v=joPLKP546hk" xr:uid="{3769F7EC-B693-4D81-98E1-5E6104BDA7E0}"/>
    <hyperlink ref="F711" r:id="rId710" display="https://www.youtube.com/watch?v=0ol6BUtHZu8" xr:uid="{D02E62DE-B5AE-4F5F-9021-4CDD8474E792}"/>
    <hyperlink ref="F712" r:id="rId711" display="https://www.youtube.com/watch?v=N1wkN3CKqHY" xr:uid="{02CBAB89-D493-48F4-A205-4AF9C22E2A84}"/>
    <hyperlink ref="F713" r:id="rId712" display="https://www.youtube.com/watch?v=Zr29r9gnq6A" xr:uid="{BBA35AF3-C0DE-43DC-B327-E4A3B3306E85}"/>
    <hyperlink ref="F714" r:id="rId713" display="https://www.youtube.com/watch?v=eVhJjqlSE8s" xr:uid="{22E1B075-2FF4-4430-88C6-D7082C231251}"/>
    <hyperlink ref="F715" r:id="rId714" display="https://www.youtube.com/watch?v=R6bvpvI1_uY" xr:uid="{DE7E2523-6F9C-4FD5-9ABB-C0966D4FF007}"/>
    <hyperlink ref="F716" r:id="rId715" display="https://www.youtube.com/watch?v=WtWOT6Hj2vM" xr:uid="{F16B8A99-D29A-4795-881C-8BA72627CBF5}"/>
    <hyperlink ref="F717" r:id="rId716" display="https://www.youtube.com/watch?v=3dYP3FhD3Po" xr:uid="{3DB705DD-12F0-4D8C-B9F8-1436391264DE}"/>
    <hyperlink ref="F718" r:id="rId717" display="https://www.youtube.com/watch?v=FgVpxhtCQdA" xr:uid="{F51BE14E-5111-4694-BF7E-D153465FDCA0}"/>
    <hyperlink ref="F719" r:id="rId718" display="https://www.youtube.com/watch?v=07rLdtPRbEE" xr:uid="{025D6482-B61A-474B-BB7D-03B771A925DE}"/>
    <hyperlink ref="F720" r:id="rId719" display="https://www.youtube.com/watch?v=n0Ekb7yhf18" xr:uid="{6A2CFC9E-514D-4CE9-B619-D1285AF9A71B}"/>
    <hyperlink ref="F721" r:id="rId720" display="https://www.youtube.com/watch?v=Pe53dUS_mHE" xr:uid="{3C781407-9BCB-4E85-AD74-9A970EF11839}"/>
    <hyperlink ref="F722" r:id="rId721" display="https://www.youtube.com/watch?v=fZLoHeGF4XI" xr:uid="{A10B5B94-A988-453F-935A-BC004C5447BA}"/>
    <hyperlink ref="F723" r:id="rId722" display="https://www.youtube.com/watch?v=NaCx35vC5wg" xr:uid="{13D90DB4-269E-48C0-81FD-C5EDA9075619}"/>
    <hyperlink ref="F724" r:id="rId723" display="https://www.youtube.com/watch?v=8M2LUwJGwHw" xr:uid="{6463FC1F-FCF5-4E93-BF36-DD5C48CD3030}"/>
    <hyperlink ref="F725" r:id="rId724" display="https://www.youtube.com/watch?v=4VaCcFKHkSY" xr:uid="{22DD7A26-DA0D-458C-BFB3-0144BB38034A}"/>
    <hyperlink ref="F726" r:id="rId725" display="https://www.youtube.com/watch?v=udkwSpjJnGk" xr:uid="{ACB41854-CBD5-42EF-B152-3E8492BE6698}"/>
    <hyperlink ref="F727" r:id="rId726" display="https://www.youtube.com/watch?v=Z8Wd8i754cU" xr:uid="{6AA054E2-1EE2-407A-A031-5E6AF22A9349}"/>
    <hyperlink ref="F728" r:id="rId727" display="https://www.youtube.com/watch?v=tlCqUXsDwDc" xr:uid="{5BA59430-F4FE-4105-8DDB-625FA654B150}"/>
    <hyperlink ref="F729" r:id="rId728" display="https://www.youtube.com/watch?v=aEAK6N982oQ" xr:uid="{11CCDA1C-B038-4ECB-883E-F04E76882769}"/>
    <hyperlink ref="F730" r:id="rId729" display="https://www.youtube.com/watch?v=aBwX_u__31I" xr:uid="{C9AA5016-8B01-48CB-8CFB-7ADD47F41728}"/>
    <hyperlink ref="F731" r:id="rId730" display="https://www.youtube.com/watch?v=i24adZlRCZk" xr:uid="{66C63BC3-DFFE-438F-8ABA-8255ECE40EE8}"/>
    <hyperlink ref="F732" r:id="rId731" display="https://www.youtube.com/watch?v=KYhdz2LiDLA" xr:uid="{3FF63277-FF54-43C9-94BE-8CAB7DDD5408}"/>
    <hyperlink ref="F733" r:id="rId732" display="https://www.youtube.com/watch?v=BKG8mWyOvuw" xr:uid="{645A09A3-7911-426D-B9A2-F51150AB2CC8}"/>
    <hyperlink ref="F734" r:id="rId733" display="https://www.youtube.com/watch?v=bGDeGR7DrFw" xr:uid="{556AA4D2-37B7-417F-924D-DDE8038F4930}"/>
    <hyperlink ref="F735" r:id="rId734" display="https://www.youtube.com/watch?v=BsEY7XJTv70" xr:uid="{8FD655CE-38BD-4CC1-87AE-7ED8A61025FD}"/>
    <hyperlink ref="F736" r:id="rId735" display="https://www.youtube.com/watch?v=Kfvmj7QyAfQ" xr:uid="{E49DA5E1-9232-4661-9AC1-BBCE061B97E7}"/>
    <hyperlink ref="F737" r:id="rId736" display="https://www.youtube.com/watch?v=C6XbkLOcyVs" xr:uid="{2A2FE4C8-9FAF-43CE-80F0-4273FD721034}"/>
    <hyperlink ref="F738" r:id="rId737" display="https://www.youtube.com/watch?v=ANDhhofT1w0" xr:uid="{2E6320FA-C89C-481B-934D-59B9A0D25367}"/>
    <hyperlink ref="F739" r:id="rId738" display="https://www.youtube.com/watch?v=qiir-ZWT6yI" xr:uid="{E0CD5BC9-61E1-4169-A454-375B564582C4}"/>
    <hyperlink ref="F740" r:id="rId739" display="https://www.youtube.com/watch?v=wEalKzas5Ig" xr:uid="{508EA1C0-DB1A-4878-9AD4-B5A14C1FD511}"/>
    <hyperlink ref="F741" r:id="rId740" display="https://www.youtube.com/watch?v=6PUBS8MXVzc" xr:uid="{A30A722D-9798-4CB0-9586-048E8B8CEDD3}"/>
    <hyperlink ref="F742" r:id="rId741" display="https://www.youtube.com/watch?v=HmKETjjGv0E" xr:uid="{326A19EC-64F8-48A2-A71E-9D96AEDC9EE9}"/>
    <hyperlink ref="F743" r:id="rId742" display="https://www.youtube.com/watch?v=vTz9mFEgYQU" xr:uid="{7D8B7CEC-002F-49D0-B4CE-3BE375F25634}"/>
    <hyperlink ref="F744" r:id="rId743" display="https://www.youtube.com/watch?v=B1KtIwSP4_U" xr:uid="{BBFEED5C-E813-4E68-B25B-77DFC0E2ED2B}"/>
    <hyperlink ref="F745" r:id="rId744" display="https://www.youtube.com/watch?v=nUfn2eRsHgo" xr:uid="{677F261F-D799-4CD5-9125-40B79594CDB2}"/>
    <hyperlink ref="F746" r:id="rId745" display="https://www.youtube.com/watch?v=sGXLoCpynsU" xr:uid="{33B8348C-6EEC-4827-80AC-B88205725FA9}"/>
    <hyperlink ref="F747" r:id="rId746" display="https://www.youtube.com/watch?v=Nattb-ZPK4g" xr:uid="{74B0C7CC-7779-4F2C-93B9-0422F68B70D5}"/>
    <hyperlink ref="F748" r:id="rId747" display="https://www.youtube.com/watch?v=EfQbirNpLM8" xr:uid="{FE6CD1EA-83C1-4D53-95A6-60486B14BDB5}"/>
    <hyperlink ref="F749" r:id="rId748" display="https://www.youtube.com/watch?v=zNgyoAjVDhk" xr:uid="{5FB9B307-9657-40D9-A31E-295720BF83F8}"/>
    <hyperlink ref="F750" r:id="rId749" display="https://www.youtube.com/watch?v=6WJO3QlTEpg" xr:uid="{A3266B20-142A-44C0-94A8-B05D5600CB15}"/>
    <hyperlink ref="F751" r:id="rId750" display="https://www.youtube.com/watch?v=9qgkONu6nbk" xr:uid="{40813450-BE78-4B93-B2FC-4A577DB1F30D}"/>
    <hyperlink ref="F752" r:id="rId751" display="https://www.youtube.com/watch?v=k8zAYJDE01E" xr:uid="{54725DF8-93C7-48BA-8FA0-9D8B99BE5AF9}"/>
    <hyperlink ref="F753" r:id="rId752" display="https://www.youtube.com/watch?v=Qh0tc43apsI" xr:uid="{9C2769D6-9E81-4CFB-A2C2-D942A31F4C52}"/>
    <hyperlink ref="F754" r:id="rId753" display="https://www.youtube.com/watch?v=B3K5KRgT0oE" xr:uid="{8C9841D6-2A9F-4AFF-AC14-7D7F1AAAE187}"/>
    <hyperlink ref="F755" r:id="rId754" display="https://www.youtube.com/watch?v=MqvZxu1TaSQ" xr:uid="{04E4BEB5-FB4B-41F6-8342-0B8B90AE3AFC}"/>
    <hyperlink ref="F756" r:id="rId755" display="https://www.youtube.com/watch?v=SmB_GUlrfzk" xr:uid="{F553A009-12D9-4A83-B3D4-7BCDA1694CEA}"/>
    <hyperlink ref="F757" r:id="rId756" display="https://www.youtube.com/watch?v=YtD-Ro9OJRQ" xr:uid="{14018F6C-43A3-4706-89AB-97432583532C}"/>
    <hyperlink ref="F758" r:id="rId757" display="https://www.youtube.com/watch?v=m1RnPcyk_e0" xr:uid="{F27323F6-D0D8-4518-B2A6-34F155B9A6FE}"/>
    <hyperlink ref="F759" r:id="rId758" display="https://www.youtube.com/watch?v=MFeGLeUGf6Q" xr:uid="{FD660143-1383-4C2B-9168-7F19F522ABF1}"/>
    <hyperlink ref="F760" r:id="rId759" display="https://www.youtube.com/watch?v=ZkrWcJXqbGA" xr:uid="{4E015FAB-E84C-4337-8EF7-3894F4C6DE00}"/>
    <hyperlink ref="F761" r:id="rId760" display="https://www.youtube.com/watch?v=ZoDHsv06lNI" xr:uid="{023E7DC8-A9F3-47C3-80F9-DB4493C5B8F1}"/>
    <hyperlink ref="F762" r:id="rId761" display="https://www.youtube.com/watch?v=j53ZVDx4pYc" xr:uid="{A78CB6DD-DA02-4C49-B18C-F9820E118D70}"/>
    <hyperlink ref="F763" r:id="rId762" display="https://www.youtube.com/watch?v=ZI3BJk08OWI" xr:uid="{631F0782-FB1C-419B-9693-C42D28173718}"/>
    <hyperlink ref="F764" r:id="rId763" display="https://www.youtube.com/watch?v=84agoVdaycE" xr:uid="{7C588338-6D5A-4E14-89BB-3F9A328FC44E}"/>
    <hyperlink ref="F765" r:id="rId764" display="https://www.youtube.com/watch?v=sLe31yV0Fb4" xr:uid="{58ECC2C7-C6DC-4508-97D7-D0297DB4AD1F}"/>
    <hyperlink ref="F766" r:id="rId765" display="https://www.youtube.com/watch?v=0gtyqapBB3A" xr:uid="{08536BC5-4244-48BF-BE8B-5D341F80647D}"/>
    <hyperlink ref="F767" r:id="rId766" display="https://www.youtube.com/watch?v=EKyX0QsZVJc" xr:uid="{094398A7-7D34-46F3-905C-A55DE90CAAD4}"/>
    <hyperlink ref="F768" r:id="rId767" display="https://www.youtube.com/watch?v=DrTFGS7SoCg" xr:uid="{1939720B-7186-4A4A-AF4F-1A6C0FBE6BA4}"/>
    <hyperlink ref="F769" r:id="rId768" display="https://www.youtube.com/watch?v=J2Z6w1bXfYc" xr:uid="{FF4111BE-3BB9-4C6B-8FAA-90AF256AE264}"/>
    <hyperlink ref="F770" r:id="rId769" display="https://www.youtube.com/watch?v=1jVMegap8Ws" xr:uid="{F15D2CD0-2A26-4C95-A9D8-14A2CE1A903E}"/>
    <hyperlink ref="F771" r:id="rId770" display="https://www.youtube.com/watch?v=4W3kmjNG_K8" xr:uid="{F4886449-81BC-4E54-B890-3F7AB347C510}"/>
    <hyperlink ref="F772" r:id="rId771" display="https://www.youtube.com/watch?v=8usGAaPq-WY" xr:uid="{CA85ECBE-C475-4969-8E97-939D5A2E2D33}"/>
    <hyperlink ref="F773" r:id="rId772" display="https://www.youtube.com/watch?v=RfiT3REVHxQ" xr:uid="{9C2B9733-EF35-4E4B-ACB3-6237A81F7E82}"/>
    <hyperlink ref="F774" r:id="rId773" display="https://www.youtube.com/watch?v=r0tSX3M-7oM&amp;t=41s" xr:uid="{852A3D5E-2D8E-42DD-9F81-DE8499BBCC90}"/>
    <hyperlink ref="F775" r:id="rId774" display="https://www.youtube.com/watch?v=9hi4MG3BU0Y" xr:uid="{2E61633F-8217-44DF-8C72-42E2DE29FDB0}"/>
    <hyperlink ref="F776" r:id="rId775" display="https://www.youtube.com/watch?v=uiJHx80DJcw" xr:uid="{6F4958BB-948E-4544-B786-F9BED4E05D84}"/>
    <hyperlink ref="F777" r:id="rId776" display="https://www.youtube.com/watch?v=XWeFa6jUiPw" xr:uid="{B778059A-3B64-4C1F-8780-DDD3D9F6B680}"/>
    <hyperlink ref="F778" r:id="rId777" display="https://www.youtube.com/watch?v=Y5sHrOViVq0" xr:uid="{6737A95A-2443-4EF6-99AF-3D59A21DA14B}"/>
    <hyperlink ref="F779" r:id="rId778" display="https://www.youtube.com/watch?v=SNAHZpRl3go" xr:uid="{4C7B99C3-0847-4B5B-8F83-C923D2AB8F46}"/>
    <hyperlink ref="F780" r:id="rId779" display="https://www.youtube.com/watch?v=kDDNkLWPpUc" xr:uid="{A88B1BFD-96F2-446B-A578-EA45C4395F90}"/>
    <hyperlink ref="F781" r:id="rId780" display="https://www.youtube.com/watch?v=Vrv16kSoTLQ" xr:uid="{C3D52549-3F5F-4FBD-8D69-4BF4C6FA5FD2}"/>
    <hyperlink ref="F782" r:id="rId781" display="https://www.youtube.com/watch?v=1k_PbRxkEqo" xr:uid="{F0F0245F-121E-46F9-8262-CAB3B27F3AF5}"/>
    <hyperlink ref="F783" r:id="rId782" display="https://www.youtube.com/watch?v=JZ7LHVZfMwM" xr:uid="{1A457DE9-EEF7-4501-9DFB-082D2C015A7D}"/>
    <hyperlink ref="F784" r:id="rId783" display="https://www.youtube.com/watch?v=-pTe3fDFF7U" xr:uid="{287F2A04-AB3B-415A-8EA9-D06B0E4BB61E}"/>
    <hyperlink ref="F785" r:id="rId784" display="https://www.youtube.com/watch?v=HzuZ57Y3-VQ" xr:uid="{ADCFBDA4-69CA-4CC0-A993-012B6B6E0135}"/>
    <hyperlink ref="F786" r:id="rId785" display="https://www.youtube.com/watch?v=b96t52xbmO8" xr:uid="{A7746DC5-30EB-4A0B-851C-46FE39176BEB}"/>
    <hyperlink ref="F787" r:id="rId786" display="https://www.youtube.com/watch?v=6M1Mp5tvk-E" xr:uid="{0B5306EC-6FA3-4AAB-BC14-FF0146CD0268}"/>
    <hyperlink ref="F788" r:id="rId787" display="https://www.youtube.com/watch?v=LAZPY_rTJLU" xr:uid="{12F8C685-2E37-4A87-AD48-635DF242C8A2}"/>
    <hyperlink ref="F789" r:id="rId788" display="https://www.youtube.com/watch?v=13shkRG4RMc" xr:uid="{1181DB83-A3B1-4196-AF92-080C03AFB16F}"/>
    <hyperlink ref="F790" r:id="rId789" display="https://www.youtube.com/watch?v=lnII4AH2rHw" xr:uid="{FD280F65-D22B-4475-AA7E-BEB6B254069B}"/>
    <hyperlink ref="F791" r:id="rId790" display="https://www.youtube.com/watch?v=az7GJp1YAXw" xr:uid="{04206043-195F-4555-831D-6A3D46A9895A}"/>
    <hyperlink ref="F792" r:id="rId791" display="https://www.youtube.com/watch?v=_zmgXM40afU" xr:uid="{C7691FF5-39F3-4356-AD23-FEA988FBC5B1}"/>
    <hyperlink ref="F793" r:id="rId792" display="https://www.youtube.com/watch?v=IS6hRiM7WuU" xr:uid="{64FB7C6E-F060-4B12-9D91-55F4C4BEBB26}"/>
    <hyperlink ref="F794" r:id="rId793" display="https://www.youtube.com/watch?v=-c4KLljIDeo" xr:uid="{6D631EC1-367B-4B6E-B646-5AD1D6D5E0B6}"/>
    <hyperlink ref="F795" r:id="rId794" display="https://www.youtube.com/watch?v=6KN0GnYv6xQ" xr:uid="{C753AD25-EC86-4894-A85A-8A017B916508}"/>
    <hyperlink ref="F796" r:id="rId795" display="https://www.youtube.com/watch?v=GP0JLpTLOWU" xr:uid="{7887F3D4-3B32-4659-9C61-40C672AAF845}"/>
    <hyperlink ref="F797" r:id="rId796" display="https://www.youtube.com/watch?v=OdRuRzl5pwg" xr:uid="{E5AF4809-01CD-4BFA-A6B8-45C77BC253F4}"/>
    <hyperlink ref="F798" r:id="rId797" display="https://www.youtube.com/watch?v=ImpfhngYCCA" xr:uid="{92A71CD5-9EB5-4E38-8144-2D01C35AD3CA}"/>
    <hyperlink ref="F799" r:id="rId798" display="https://www.youtube.com/watch?v=p08RUDejFXs" xr:uid="{303D8252-5B2A-4750-AD8B-1F7B70A52802}"/>
    <hyperlink ref="F800" r:id="rId799" display="https://www.youtube.com/watch?v=NpCmOPhka6g" xr:uid="{B637F938-45B1-4754-8E8E-5559F866757C}"/>
    <hyperlink ref="F801" r:id="rId800" display="https://www.youtube.com/watch?v=Iz3TO-dXkSI" xr:uid="{ED641024-CFDB-4060-8DCF-30F06E22EB94}"/>
    <hyperlink ref="F802" r:id="rId801" display="https://www.youtube.com/watch?v=5Qbkf3waru8" xr:uid="{95A74B04-03FD-49C9-B4EF-782387A8212F}"/>
    <hyperlink ref="F803" r:id="rId802" display="https://www.youtube.com/watch?v=0cvq3rbQ7Dw" xr:uid="{F10B3084-C43D-428F-BDD4-F8DBD4BBD918}"/>
    <hyperlink ref="F804" r:id="rId803" display="https://www.youtube.com/watch?v=69M5XJQEYX4" xr:uid="{A8984CC6-80B4-46F1-B570-1795022882BC}"/>
    <hyperlink ref="F805" r:id="rId804" display="https://www.youtube.com/watch?v=Yb0AWtlb8-g" xr:uid="{584B13F5-242F-4AAC-A16F-A968590BAA40}"/>
    <hyperlink ref="F806" r:id="rId805" display="https://www.youtube.com/watch?v=1Gop0_4D5pE" xr:uid="{302C89F8-74FF-4193-B790-DF074ACC0D62}"/>
    <hyperlink ref="F807" r:id="rId806" display="https://www.youtube.com/watch?v=-pDxEjRprYM" xr:uid="{74D2164C-2595-4E50-8A82-1BA6EB15427C}"/>
    <hyperlink ref="F808" r:id="rId807" display="https://www.youtube.com/watch?v=1P_XO3xfTCs" xr:uid="{98FF35AE-586E-4F25-B86D-AFBDD4319544}"/>
    <hyperlink ref="F809" r:id="rId808" display="https://www.youtube.com/watch?v=Voaw-uef3Tw" xr:uid="{F394A4C8-4381-4F76-9B8E-01952B3FE5C3}"/>
    <hyperlink ref="F810" r:id="rId809" display="https://www.youtube.com/watch?v=F2WG7neA31s" xr:uid="{2C0F60D7-C05C-42BE-8805-3A19F0DA1D64}"/>
    <hyperlink ref="F811" r:id="rId810" display="https://www.youtube.com/watch?v=n5lHU4Qyfbk" xr:uid="{C9E545DD-8893-43D2-B0BA-2E57CAB15242}"/>
    <hyperlink ref="F812" r:id="rId811" display="https://www.youtube.com/watch?v=mcxquOK_mY8" xr:uid="{9FBD4726-559F-4497-B728-BAD21A5A0781}"/>
    <hyperlink ref="F813" r:id="rId812" display="https://www.youtube.com/watch?v=9FgUTz996bs" xr:uid="{00BD5906-ADD9-4730-BCAE-FB7B243FEEA3}"/>
    <hyperlink ref="F814" r:id="rId813" display="https://www.youtube.com/watch?v=DVcN5QXGA_w" xr:uid="{046F03ED-6C51-4300-A7CD-B9CBA5DF3EA0}"/>
    <hyperlink ref="F815" r:id="rId814" display="https://www.youtube.com/watch?v=_D2sWZSHDqg&amp;t=834s" xr:uid="{A942D698-CB42-45B2-9A6C-E188DD2F3B8D}"/>
    <hyperlink ref="F816" r:id="rId815" display="https://www.youtube.com/watch?v=7-JbRtATwHQ" xr:uid="{C96A528B-C48C-42CE-9D68-EEBB7FE3BBB8}"/>
    <hyperlink ref="F817" r:id="rId816" display="https://www.youtube.com/watch?v=N6IDjOR1OY0" xr:uid="{2812608C-559F-4D71-906C-9A590F161523}"/>
    <hyperlink ref="F818" r:id="rId817" display="https://www.youtube.com/watch?v=mScbp58xwJE" xr:uid="{F170B020-666B-4D0C-B901-B964204FDBD1}"/>
    <hyperlink ref="F819" r:id="rId818" display="https://www.youtube.com/watch?v=eQBirhrwc3E" xr:uid="{A1ECCFAD-C0E0-427D-A317-D3AA59FEE1B3}"/>
    <hyperlink ref="F820" r:id="rId819" display="https://www.youtube.com/watch?v=qzXGb7RIXmc" xr:uid="{C32CD0C5-50D9-4168-862C-CC9EB95BD7AC}"/>
    <hyperlink ref="F821" r:id="rId820" display="https://www.youtube.com/watch?v=JjtvU2xQpaQ" xr:uid="{84B0C2F2-BC1B-4B0E-9633-2AF3AD1EBEB0}"/>
    <hyperlink ref="F822" r:id="rId821" display="https://www.youtube.com/watch?v=C6sAuCIhIzA" xr:uid="{9D4F322C-59C3-4763-A6C6-AFF36C4FC61E}"/>
    <hyperlink ref="F823" r:id="rId822" display="https://www.youtube.com/watch?v=strZVEaixcs" xr:uid="{7BF40CAC-FE46-4607-9C1C-6FB74CA8D385}"/>
    <hyperlink ref="F824" r:id="rId823" display="https://www.youtube.com/watch?v=Ih4StVOa0Qs" xr:uid="{81E64E2D-1520-499A-AF06-8ABB86C41CD7}"/>
    <hyperlink ref="F825" r:id="rId824" display="https://www.youtube.com/watch?v=LIl0C87tzGE" xr:uid="{21318DDB-2565-41EF-96C1-523B1AF6A708}"/>
    <hyperlink ref="F826" r:id="rId825" display="https://www.youtube.com/watch?v=sZGlmV--sG4" xr:uid="{41E683CD-8959-43B1-A738-F20643A6491E}"/>
    <hyperlink ref="F827" r:id="rId826" display="https://www.youtube.com/watch?v=MAt3aD51sUM" xr:uid="{9C4E573E-BBAA-4D6D-A0BF-D9E48C0FAB50}"/>
    <hyperlink ref="F828" r:id="rId827" display="https://www.youtube.com/watch?v=EXkq2inhXiw" xr:uid="{7F772E94-1930-47E1-89D6-0C10503AA92D}"/>
    <hyperlink ref="F829" r:id="rId828" display="https://www.youtube.com/watch?v=XfaMChybaCc" xr:uid="{CBC18D5B-CFF3-40E1-84D4-337DDDA78687}"/>
    <hyperlink ref="F830" r:id="rId829" display="https://www.youtube.com/watch?v=D559dD7btfo" xr:uid="{98DD860C-58E7-4813-96AE-B829767E1870}"/>
    <hyperlink ref="F831" r:id="rId830" display="https://www.youtube.com/watch?v=rt5w2HzSWc0" xr:uid="{40BE5E31-8839-42A9-AF56-52CBD9B89BF2}"/>
    <hyperlink ref="F832" r:id="rId831" display="https://www.youtube.com/watch?v=kvEIBfEnwXM" xr:uid="{6AEDE8CF-72D5-4B5E-8AFC-67BEDF254101}"/>
    <hyperlink ref="F833" r:id="rId832" display="https://www.youtube.com/watch?v=lkDfIrZy2VY" xr:uid="{43223827-F720-4BDE-88AE-6FC069C58506}"/>
    <hyperlink ref="F834" r:id="rId833" display="https://www.youtube.com/watch?v=vB9JqlUiYUk" xr:uid="{AE510FDA-96A1-4C6A-BB05-2EBE3446E8D0}"/>
    <hyperlink ref="F835" r:id="rId834" display="https://www.youtube.com/watch?v=vzoIHUTieE0" xr:uid="{E3F8D259-062E-4B3C-8A59-AB5353ADED2D}"/>
    <hyperlink ref="F836" r:id="rId835" display="https://www.youtube.com/watch?v=eKSuEJqn2NI" xr:uid="{CB5A7699-3D1B-4058-8833-3A1525472FA0}"/>
    <hyperlink ref="F837" r:id="rId836" display="https://www.youtube.com/watch?v=1UnsEQPK3PQ" xr:uid="{F1A84159-3A75-4A8D-A200-E3DE279D678F}"/>
    <hyperlink ref="F838" r:id="rId837" display="https://www.youtube.com/watch?v=bD-uUsBgY-w" xr:uid="{B5AE3E9A-D05D-4F1F-93E0-A1301966CB7C}"/>
    <hyperlink ref="F839" r:id="rId838" display="https://www.youtube.com/watch?v=Lrh5zQHEIk4" xr:uid="{4EF1EFC1-99A2-4EF2-B0AC-D99F20D395D7}"/>
    <hyperlink ref="F840" r:id="rId839" display="https://www.youtube.com/watch?v=edQr4IJQuEg" xr:uid="{1F1E76AC-AFE4-4C70-8B79-07EF456600D1}"/>
    <hyperlink ref="F841" r:id="rId840" display="https://www.youtube.com/watch?v=RJSsEA6fpJE" xr:uid="{4AC3B4EC-FAA4-419C-8AD0-C4B6291542F9}"/>
    <hyperlink ref="F842" r:id="rId841" display="https://www.youtube.com/watch?v=BlNY-1vmqvA" xr:uid="{BBF9A7AF-4DCE-4FA3-8274-3EE44D30F4CD}"/>
    <hyperlink ref="F843" r:id="rId842" display="https://www.youtube.com/watch?v=_CKZQa18hcY" xr:uid="{411A79A4-B1E4-4931-8E6D-A1F0A74F0E1C}"/>
    <hyperlink ref="F844" r:id="rId843" display="https://www.youtube.com/watch?v=iwaHs0-q9l8" xr:uid="{EB48A5A1-4617-42C5-B58B-1DBF80B96454}"/>
    <hyperlink ref="F845" r:id="rId844" display="https://www.youtube.com/watch?v=lkO1JaN7BoQ" xr:uid="{D37A6EFD-BBF5-4A43-85D4-8F3B509A64E6}"/>
    <hyperlink ref="F846" r:id="rId845" display="https://www.youtube.com/watch?v=vaRCmUwpmNk" xr:uid="{75F8607C-073F-4147-9416-E3F39C721082}"/>
    <hyperlink ref="F847" r:id="rId846" display="https://www.youtube.com/watch?v=qY_yQIrKwRk" xr:uid="{2B49A51B-00B2-448D-9D6D-CFDD2CFAE127}"/>
    <hyperlink ref="F848" r:id="rId847" display="https://www.youtube.com/watch?v=4ZkNnR--tMY" xr:uid="{F40A46A2-AFBB-4340-8937-28861E71BB80}"/>
    <hyperlink ref="F849" r:id="rId848" display="https://www.youtube.com/watch?v=Fb11XAvWeyE" xr:uid="{D70A555E-FF05-4C9E-9C9D-4BD74F423302}"/>
    <hyperlink ref="F850" r:id="rId849" display="https://www.youtube.com/watch?v=xAicQnL_abA" xr:uid="{8F54A29E-F453-44A2-985F-AD28A1AF925F}"/>
    <hyperlink ref="F851" r:id="rId850" display="https://www.youtube.com/watch?v=kcbL1wC9PEg" xr:uid="{6DA4F00E-C4C7-4B59-BFA2-197A3C6871DE}"/>
    <hyperlink ref="F852" r:id="rId851" display="https://www.youtube.com/watch?v=qqDl6coS7wg" xr:uid="{81D56B14-21C7-4830-9FE7-63B423D14E21}"/>
    <hyperlink ref="F853" r:id="rId852" display="https://www.youtube.com/watch?v=0RYS6V76lRQ" xr:uid="{45390767-AB53-4D53-836C-8B62FD28076D}"/>
    <hyperlink ref="F854" r:id="rId853" display="https://www.youtube.com/watch?v=gtJ9OzJIB_c" xr:uid="{2535B88A-A3A0-4D49-8D25-007A43D164B2}"/>
    <hyperlink ref="F855" r:id="rId854" display="https://www.youtube.com/watch?v=7AYmPqY5iF4" xr:uid="{4B8EBE20-C4EA-4957-9810-498D6780300C}"/>
    <hyperlink ref="F856" r:id="rId855" display="https://www.youtube.com/watch?v=4iGdwJ3nQcs&amp;t=38s" xr:uid="{EF1EDC4E-E832-4219-A603-36D522C354E4}"/>
    <hyperlink ref="F857" r:id="rId856" display="https://www.youtube.com/watch?v=OI3nL5YCIO8" xr:uid="{7C9EE601-7A3F-4FD3-9AF4-4D12B05B0583}"/>
    <hyperlink ref="F858" r:id="rId857" display="https://www.youtube.com/watch?v=_xxJKDZyRuE" xr:uid="{C57F4A8B-723A-44D0-9459-9E05BD288F65}"/>
    <hyperlink ref="F859" r:id="rId858" display="https://www.youtube.com/watch?v=vhlPSbFlxPI" xr:uid="{E97B80D1-F552-4D96-9931-A0D5C943C8AF}"/>
    <hyperlink ref="F860" r:id="rId859" display="https://www.youtube.com/watch?v=vmOlaD1O5rg" xr:uid="{6F892FB2-7AC4-4711-B0E2-B75E6BEE3B35}"/>
    <hyperlink ref="F861" r:id="rId860" display="https://www.youtube.com/watch?v=WzgR7yTQNzY" xr:uid="{E4DE8CDB-7E8E-4E6D-B78A-6B6D1725E8BB}"/>
    <hyperlink ref="F862" r:id="rId861" display="https://www.youtube.com/watch?v=SNpVBfgzPmo" xr:uid="{7395F204-CD74-458B-91BE-D3BCCAC5B2D4}"/>
    <hyperlink ref="F863" r:id="rId862" display="https://www.youtube.com/watch?v=MC9pK4dCHAs" xr:uid="{AE08591E-51BF-491E-AF66-D0DF22E04D4A}"/>
    <hyperlink ref="F864" r:id="rId863" display="https://www.youtube.com/watch?v=g8GW7DlPr4g" xr:uid="{5AD817CF-770B-489D-B5F9-DE5744CBCFA8}"/>
    <hyperlink ref="F865" r:id="rId864" display="https://www.youtube.com/watch?v=lQph5joRdU8" xr:uid="{75EF2FBB-B04C-4986-8012-6AD8028EBC55}"/>
    <hyperlink ref="F866" r:id="rId865" display="https://www.youtube.com/watch?v=DMReaVWJGFE" xr:uid="{011AAE58-F1F8-49CE-A437-4CDD61E23D4E}"/>
    <hyperlink ref="F867" r:id="rId866" display="https://www.youtube.com/watch?v=Zused4CGMw4" xr:uid="{0C4FFEAE-3021-406D-872D-6E548032CD7B}"/>
    <hyperlink ref="F868" r:id="rId867" display="https://www.youtube.com/watch?v=KCUZ6hBgxc0" xr:uid="{49F44951-D13C-426E-9E19-9590230F67CB}"/>
    <hyperlink ref="F869" r:id="rId868" display="https://www.youtube.com/watch?v=k0FNC9LuJoo&amp;t=4s" xr:uid="{E744B729-CFF2-4A77-9C12-B8151B792D32}"/>
    <hyperlink ref="F870" r:id="rId869" display="https://www.youtube.com/watch?v=DBYSIkWsAOI" xr:uid="{E9F7344F-88A7-48A4-BF69-48FB63C1F370}"/>
    <hyperlink ref="F871" r:id="rId870" display="https://www.youtube.com/watch?v=VKbVHIgKbbo" xr:uid="{F5A5F70F-86DC-4305-85D3-32B1F29179B2}"/>
    <hyperlink ref="F872" r:id="rId871" display="https://www.youtube.com/watch?v=uaTb9-4kT2Y" xr:uid="{4958896A-F2E4-4167-908D-E26140198FE9}"/>
    <hyperlink ref="F873" r:id="rId872" display="https://www.youtube.com/watch?v=wKoUB00RmE0" xr:uid="{380C6462-36B0-4E55-85A7-A2C2B734F360}"/>
    <hyperlink ref="F874" r:id="rId873" display="https://www.youtube.com/watch?v=sI2xSENomQY" xr:uid="{3CE7D684-B523-4EB6-9720-F78F96C3E810}"/>
    <hyperlink ref="F875" r:id="rId874" display="https://www.youtube.com/watch?v=Ts09Fp7M53k" xr:uid="{0502A79C-FAED-401D-85D3-9B525A9E5BEB}"/>
    <hyperlink ref="F876" r:id="rId875" display="https://www.youtube.com/watch?v=inDcB8LwlqI" xr:uid="{F1397A2E-A21C-4D54-832C-FC1A2D9ABD7D}"/>
    <hyperlink ref="F877" r:id="rId876" display="https://www.youtube.com/watch?v=1wYg5d-4aVg" xr:uid="{F672D158-6CD3-4EE5-B097-407413B12F81}"/>
    <hyperlink ref="F878" r:id="rId877" display="https://www.youtube.com/watch?v=oLCI7vQ7WFk" xr:uid="{EC65244F-C064-4D47-9FD8-C721329EAEE2}"/>
    <hyperlink ref="F879" r:id="rId878" display="https://www.youtube.com/watch?v=Owv0FewW5Bo" xr:uid="{0A91B8CA-1961-4DA5-990A-0259EFAFDA79}"/>
    <hyperlink ref="F880" r:id="rId879" display="https://www.youtube.com/watch?v=3ytmTvor21A" xr:uid="{AEC53BC1-A2F6-488E-9358-42FD9AFB79E7}"/>
    <hyperlink ref="F881" r:id="rId880" display="https://www.youtube.com/watch?v=tPgOVeqnOcc" xr:uid="{4919B456-0E2E-4B25-A916-C43F30996D1B}"/>
    <hyperlink ref="F882" r:id="rId881" display="https://www.youtube.com/watch?v=sEg8fP2ckhI" xr:uid="{A3B96218-4A2F-4C05-85DB-13F07B1EA39F}"/>
    <hyperlink ref="F883" r:id="rId882" display="https://www.youtube.com/watch?v=tmCFtpj6IZc" xr:uid="{B10930DC-0081-4028-ACC8-46585556C988}"/>
    <hyperlink ref="F884" r:id="rId883" display="https://www.youtube.com/watch?v=Ul-faWS75vA" xr:uid="{C03BE96C-47EF-4278-8170-28315F2E3029}"/>
    <hyperlink ref="F885" r:id="rId884" display="https://www.youtube.com/watch?v=rP79c8rd-jE" xr:uid="{D09A5E31-A317-487E-99C0-9A27F8711750}"/>
    <hyperlink ref="F886" r:id="rId885" display="https://www.youtube.com/watch?v=4ej2lqB-kjM" xr:uid="{7B42BDB8-1EC8-422A-A76A-ADAB11575FA0}"/>
    <hyperlink ref="F887" r:id="rId886" display="https://www.youtube.com/watch?v=OmWUkxANoEk" xr:uid="{20CF2BA7-B5C8-4F25-9E01-E23F96A28943}"/>
    <hyperlink ref="F888" r:id="rId887" display="https://www.youtube.com/watch?v=5IYA6g6rNW0" xr:uid="{D73DA1A7-598D-4AA6-AD8F-B5F91BCF3491}"/>
    <hyperlink ref="F889" r:id="rId888" display="https://www.youtube.com/watch?v=zEXu5K5eyCY" xr:uid="{E822064B-947F-4870-85C9-55A6FBEEF9A6}"/>
    <hyperlink ref="F890" r:id="rId889" display="https://www.youtube.com/watch?v=s9g49kgd9ao" xr:uid="{E96DBCF2-642F-4162-BE11-0545966AF6A7}"/>
    <hyperlink ref="F891" r:id="rId890" display="https://www.youtube.com/watch?v=7IXp156RgtQ" xr:uid="{53EE6D05-414D-49A7-B033-DB7967A90B31}"/>
    <hyperlink ref="F892" r:id="rId891" display="https://www.youtube.com/watch?v=1CJb6PuWDqk" xr:uid="{588E31FB-2288-4ACE-A4AB-838D4D79769A}"/>
    <hyperlink ref="F893" r:id="rId892" display="https://www.youtube.com/watch?v=3Pat7agSMJU&amp;t=22s" xr:uid="{34B88000-375E-4AD1-9F51-968C0167D58E}"/>
    <hyperlink ref="F894" r:id="rId893" display="https://www.youtube.com/watch?v=lyiuoR-2E6I" xr:uid="{A1BA70D9-2530-4429-A822-0C08015312C2}"/>
    <hyperlink ref="F895" r:id="rId894" display="https://www.youtube.com/watch?v=h4ZgKKlmUl0&amp;t=481s" xr:uid="{A7FE442D-3083-4660-BCE6-573A1CE655D0}"/>
    <hyperlink ref="F896" r:id="rId895" display="https://www.youtube.com/watch?v=8gCMYZ-alVw" xr:uid="{183D7180-6369-4E1D-B1A1-119121BC3BCB}"/>
    <hyperlink ref="F897" r:id="rId896" display="https://www.youtube.com/watch?v=aPfBxS4huSc" xr:uid="{490F896A-E7D9-4D89-B4E5-C409A1E7C409}"/>
    <hyperlink ref="F898" r:id="rId897" display="https://www.youtube.com/watch?v=HQK8u4lh7y0" xr:uid="{4483F942-E007-492A-90B6-423D222FFA8D}"/>
    <hyperlink ref="F899" r:id="rId898" display="https://www.youtube.com/watch?v=qIQN0DtO2Z8" xr:uid="{728C8539-65ED-40BA-9973-E67241595990}"/>
    <hyperlink ref="F900" r:id="rId899" display="https://www.youtube.com/watch?v=ZErxsCxSQsA" xr:uid="{38FD7057-9FEF-419D-B7F3-535D11E4BECB}"/>
    <hyperlink ref="F901" r:id="rId900" display="https://www.youtube.com/watch?v=ZyApm_PJ-W8&amp;t=65s" xr:uid="{D41AD52F-8F5A-469E-A233-A26FE4C69421}"/>
    <hyperlink ref="F902" r:id="rId901" display="https://www.youtube.com/watch?v=VFJFvcNogFU" xr:uid="{0EF6FE50-5876-4E40-8D7D-B09EC47F4508}"/>
    <hyperlink ref="F903" r:id="rId902" display="https://www.youtube.com/watch?v=JlEmX46IYNY" xr:uid="{FB49B0FD-A87D-4423-9B55-3C9C82D74FDC}"/>
    <hyperlink ref="F904" r:id="rId903" display="https://www.youtube.com/watch?v=SPD35eCSgDk" xr:uid="{0FBF3263-47EE-4A7A-B780-3260243F87DA}"/>
    <hyperlink ref="F905" r:id="rId904" display="https://www.youtube.com/watch?v=sy6xQyjX7qg" xr:uid="{8C488ACA-2DED-4032-8226-B6EB0A353FD7}"/>
    <hyperlink ref="F906" r:id="rId905" display="https://www.youtube.com/watch?v=xCLLCYBg7Zc" xr:uid="{DAFDD54B-BCA5-4ADC-A045-037615B8802B}"/>
    <hyperlink ref="F907" r:id="rId906" display="https://www.youtube.com/watch?v=s4vjcCAXvVI" xr:uid="{9F723987-C467-416A-B6B5-21C7CF8D5ACF}"/>
    <hyperlink ref="F908" r:id="rId907" display="https://www.youtube.com/watch?v=wfQX8QWcWgI" xr:uid="{0AF5ECDD-9E17-445C-B40A-B841833FDDB1}"/>
    <hyperlink ref="F909" r:id="rId908" display="https://www.youtube.com/watch?v=c50rfZlrNXU" xr:uid="{515D9AFF-216B-48EF-B1CE-B8760906E0F8}"/>
    <hyperlink ref="F910" r:id="rId909" display="https://www.youtube.com/watch?v=Bx9ffGtMMxo" xr:uid="{DEBCEAF4-9459-4EEA-9073-E2E291589A88}"/>
    <hyperlink ref="F911" r:id="rId910" display="https://www.youtube.com/watch?v=DL5cLBZou3I" xr:uid="{7A198F7C-AEBC-410B-9D5B-43FA8F2B55A1}"/>
    <hyperlink ref="F912" r:id="rId911" display="https://www.youtube.com/watch?v=dHQ-HMVdPyE" xr:uid="{0A002906-E617-4F3E-B4E7-D99472D554A5}"/>
    <hyperlink ref="F913" r:id="rId912" display="https://www.youtube.com/watch?v=GtSbmTRia5Y" xr:uid="{9457212C-B9B3-4A25-A8BF-6F706E75B69F}"/>
    <hyperlink ref="F914" r:id="rId913" display="https://www.youtube.com/watch?v=dvcJI5yAd6M&amp;t=122s" xr:uid="{24DB1258-1450-40BF-9FE1-5431643EAB04}"/>
    <hyperlink ref="F915" r:id="rId914" display="https://www.youtube.com/watch?v=ahKeSqFT0Nk" xr:uid="{62CEFD53-6C21-45C2-BF86-6E882B29E066}"/>
    <hyperlink ref="F916" r:id="rId915" display="https://www.youtube.com/watch?v=JB_lc00AWIE" xr:uid="{CA6A47C9-96B3-4EAA-A8C7-7B16B8D42979}"/>
    <hyperlink ref="F917" r:id="rId916" display="https://www.youtube.com/watch?v=9jjsiAFVdXc" xr:uid="{ADFE2A57-403E-4F49-9EAB-6CDBE5650DB8}"/>
    <hyperlink ref="F918" r:id="rId917" display="https://www.youtube.com/watch?v=9QSUsKZfoQA&amp;t=156s" xr:uid="{0CC3A601-361C-4881-B8C2-B755F54A3EC7}"/>
    <hyperlink ref="F919" r:id="rId918" display="https://www.youtube.com/watch?v=79r5KYH0nBI" xr:uid="{58F0DAE8-D429-49B2-8A10-B699C4754388}"/>
    <hyperlink ref="Q920" r:id="rId919" xr:uid="{5AD3B3D0-7C02-4D76-BCB5-0BC1A36C7E3E}"/>
    <hyperlink ref="Q921" r:id="rId920" xr:uid="{24E3BF31-4A46-476D-852F-3616B9910C01}"/>
    <hyperlink ref="Q922" r:id="rId921" xr:uid="{D15FA81A-1AC3-4FF7-8EDF-9B7D146CA93C}"/>
    <hyperlink ref="Q923" r:id="rId922" xr:uid="{525D4BA8-C122-4232-B6BE-956249D6E892}"/>
    <hyperlink ref="Q924" r:id="rId923" xr:uid="{7309B287-B9D7-4FC1-A18F-B1F02AB8F5F0}"/>
    <hyperlink ref="Q925" r:id="rId924" xr:uid="{48F483F8-E0EA-4357-9FC6-2EC7396E5FFE}"/>
    <hyperlink ref="Q926" r:id="rId925" xr:uid="{5B911680-67A2-4B4F-BE5E-FE9F536AF256}"/>
    <hyperlink ref="Q927" r:id="rId926" xr:uid="{7388434E-A677-4D77-BA6C-A5773C7599A7}"/>
    <hyperlink ref="Q928" r:id="rId927" xr:uid="{C7A6EC20-490A-419F-BAA3-05E57168AAAC}"/>
    <hyperlink ref="Q929" r:id="rId928" xr:uid="{842986D6-8AB2-4E73-ACBF-6025367CDDB1}"/>
    <hyperlink ref="Q930" r:id="rId929" xr:uid="{033A55B6-B63A-4F4B-B3BC-81DE76EBB0D2}"/>
    <hyperlink ref="Q931" r:id="rId930" xr:uid="{2805AFAB-831D-4C84-B011-686F6D9160C5}"/>
  </hyperlinks>
  <pageMargins left="0.7" right="0.7" top="0.75" bottom="0.75" header="0.3" footer="0.3"/>
  <drawing r:id="rId931"/>
  <legacyDrawing r:id="rId93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516549-B5B3-4779-BF48-C85AB0011FD9}">
  <dimension ref="A3:P13"/>
  <sheetViews>
    <sheetView workbookViewId="0">
      <selection activeCell="A3" sqref="A3:P12"/>
      <pivotSelection pane="bottomRight" showHeader="1" activeRow="2" previousRow="2" click="1" r:id="rId1">
        <pivotArea type="all" dataOnly="0" outline="0" fieldPosition="0"/>
      </pivotSelection>
    </sheetView>
  </sheetViews>
  <sheetFormatPr defaultRowHeight="15"/>
  <cols>
    <col min="1" max="1" width="17.7109375" bestFit="1" customWidth="1"/>
    <col min="2" max="2" width="19" style="215" bestFit="1" customWidth="1"/>
    <col min="3" max="3" width="12.85546875" style="215" bestFit="1" customWidth="1"/>
    <col min="4" max="4" width="17" style="215" bestFit="1" customWidth="1"/>
    <col min="5" max="5" width="19" style="215" bestFit="1" customWidth="1"/>
    <col min="6" max="6" width="21.42578125" style="215" bestFit="1" customWidth="1"/>
    <col min="7" max="7" width="17" style="215" bestFit="1" customWidth="1"/>
    <col min="8" max="8" width="19" style="215" bestFit="1" customWidth="1"/>
    <col min="9" max="9" width="21.42578125" style="215" bestFit="1" customWidth="1"/>
    <col min="10" max="10" width="17" style="215" bestFit="1" customWidth="1"/>
    <col min="11" max="11" width="19" style="215" bestFit="1" customWidth="1"/>
    <col min="12" max="12" width="21.42578125" bestFit="1" customWidth="1"/>
    <col min="13" max="13" width="17" bestFit="1" customWidth="1"/>
    <col min="14" max="14" width="24" bestFit="1" customWidth="1"/>
    <col min="15" max="15" width="26.42578125" bestFit="1" customWidth="1"/>
    <col min="16" max="16" width="22.140625" bestFit="1" customWidth="1"/>
    <col min="17" max="17" width="44.85546875" bestFit="1" customWidth="1"/>
    <col min="18" max="18" width="44" bestFit="1" customWidth="1"/>
    <col min="19" max="19" width="63.5703125" bestFit="1" customWidth="1"/>
    <col min="20" max="20" width="30.28515625" bestFit="1" customWidth="1"/>
    <col min="21" max="21" width="41.5703125" bestFit="1" customWidth="1"/>
    <col min="22" max="22" width="25.85546875" bestFit="1" customWidth="1"/>
    <col min="23" max="23" width="34" bestFit="1" customWidth="1"/>
    <col min="24" max="24" width="60.28515625" bestFit="1" customWidth="1"/>
    <col min="25" max="25" width="62.42578125" bestFit="1" customWidth="1"/>
    <col min="26" max="26" width="77.28515625" bestFit="1" customWidth="1"/>
    <col min="27" max="27" width="42.140625" bestFit="1" customWidth="1"/>
    <col min="28" max="28" width="53.28515625" bestFit="1" customWidth="1"/>
    <col min="29" max="29" width="30.42578125" bestFit="1" customWidth="1"/>
    <col min="30" max="30" width="40.140625" bestFit="1" customWidth="1"/>
    <col min="31" max="31" width="59.5703125" bestFit="1" customWidth="1"/>
    <col min="32" max="32" width="44.28515625" bestFit="1" customWidth="1"/>
    <col min="33" max="33" width="51" bestFit="1" customWidth="1"/>
    <col min="34" max="34" width="35.42578125" bestFit="1" customWidth="1"/>
    <col min="35" max="35" width="44.85546875" bestFit="1" customWidth="1"/>
    <col min="36" max="36" width="41.140625" bestFit="1" customWidth="1"/>
    <col min="37" max="37" width="43.42578125" bestFit="1" customWidth="1"/>
    <col min="38" max="38" width="44.42578125" bestFit="1" customWidth="1"/>
    <col min="39" max="39" width="44.85546875" bestFit="1" customWidth="1"/>
    <col min="40" max="40" width="34.28515625" bestFit="1" customWidth="1"/>
    <col min="41" max="41" width="49.5703125" bestFit="1" customWidth="1"/>
    <col min="42" max="42" width="77.42578125" bestFit="1" customWidth="1"/>
    <col min="43" max="43" width="30.42578125" bestFit="1" customWidth="1"/>
    <col min="44" max="44" width="56" bestFit="1" customWidth="1"/>
    <col min="45" max="45" width="37.42578125" bestFit="1" customWidth="1"/>
    <col min="46" max="46" width="54" bestFit="1" customWidth="1"/>
    <col min="47" max="47" width="37.140625" bestFit="1" customWidth="1"/>
    <col min="48" max="48" width="29.28515625" bestFit="1" customWidth="1"/>
    <col min="49" max="49" width="32.85546875" bestFit="1" customWidth="1"/>
    <col min="50" max="50" width="36.28515625" bestFit="1" customWidth="1"/>
    <col min="51" max="51" width="54.140625" bestFit="1" customWidth="1"/>
    <col min="52" max="52" width="63.7109375" bestFit="1" customWidth="1"/>
    <col min="53" max="53" width="51.140625" bestFit="1" customWidth="1"/>
    <col min="54" max="54" width="30.85546875" bestFit="1" customWidth="1"/>
    <col min="55" max="55" width="22.140625" bestFit="1" customWidth="1"/>
    <col min="56" max="56" width="39.7109375" bestFit="1" customWidth="1"/>
    <col min="57" max="57" width="49.5703125" bestFit="1" customWidth="1"/>
    <col min="58" max="58" width="30.42578125" bestFit="1" customWidth="1"/>
    <col min="59" max="59" width="3.5703125" bestFit="1" customWidth="1"/>
    <col min="60" max="60" width="39.5703125" bestFit="1" customWidth="1"/>
    <col min="61" max="61" width="54" bestFit="1" customWidth="1"/>
    <col min="62" max="62" width="38.85546875" bestFit="1" customWidth="1"/>
    <col min="63" max="63" width="74.28515625" bestFit="1" customWidth="1"/>
    <col min="64" max="64" width="79" bestFit="1" customWidth="1"/>
    <col min="65" max="65" width="30.28515625" bestFit="1" customWidth="1"/>
    <col min="66" max="66" width="21.5703125" bestFit="1" customWidth="1"/>
    <col min="67" max="67" width="52.140625" bestFit="1" customWidth="1"/>
    <col min="68" max="68" width="28.7109375" bestFit="1" customWidth="1"/>
    <col min="69" max="69" width="52.28515625" bestFit="1" customWidth="1"/>
    <col min="70" max="70" width="51.85546875" bestFit="1" customWidth="1"/>
    <col min="71" max="71" width="35" bestFit="1" customWidth="1"/>
    <col min="72" max="72" width="51.7109375" bestFit="1" customWidth="1"/>
    <col min="73" max="73" width="29.140625" bestFit="1" customWidth="1"/>
    <col min="74" max="74" width="76.28515625" bestFit="1" customWidth="1"/>
    <col min="75" max="75" width="20.28515625" bestFit="1" customWidth="1"/>
    <col min="76" max="76" width="24.140625" bestFit="1" customWidth="1"/>
    <col min="77" max="77" width="25.85546875" bestFit="1" customWidth="1"/>
    <col min="78" max="78" width="24.5703125" bestFit="1" customWidth="1"/>
    <col min="79" max="79" width="21" bestFit="1" customWidth="1"/>
    <col min="80" max="81" width="24.5703125" bestFit="1" customWidth="1"/>
    <col min="82" max="82" width="24.140625" bestFit="1" customWidth="1"/>
    <col min="83" max="83" width="18" bestFit="1" customWidth="1"/>
    <col min="84" max="84" width="20.7109375" bestFit="1" customWidth="1"/>
    <col min="85" max="85" width="19.140625" bestFit="1" customWidth="1"/>
    <col min="86" max="86" width="25.140625" bestFit="1" customWidth="1"/>
    <col min="87" max="87" width="46.7109375" bestFit="1" customWidth="1"/>
    <col min="88" max="88" width="28" bestFit="1" customWidth="1"/>
    <col min="89" max="89" width="30.42578125" bestFit="1" customWidth="1"/>
    <col min="90" max="90" width="23.85546875" bestFit="1" customWidth="1"/>
    <col min="91" max="91" width="30" bestFit="1" customWidth="1"/>
    <col min="92" max="92" width="27.7109375" bestFit="1" customWidth="1"/>
    <col min="93" max="93" width="20.85546875" bestFit="1" customWidth="1"/>
    <col min="94" max="94" width="60.85546875" bestFit="1" customWidth="1"/>
    <col min="95" max="95" width="30.5703125" bestFit="1" customWidth="1"/>
    <col min="96" max="96" width="34.85546875" bestFit="1" customWidth="1"/>
    <col min="97" max="97" width="44.140625" bestFit="1" customWidth="1"/>
    <col min="98" max="98" width="36" bestFit="1" customWidth="1"/>
    <col min="99" max="99" width="54.85546875" bestFit="1" customWidth="1"/>
    <col min="100" max="100" width="34.42578125" bestFit="1" customWidth="1"/>
    <col min="101" max="101" width="19.5703125" bestFit="1" customWidth="1"/>
    <col min="102" max="102" width="38.7109375" bestFit="1" customWidth="1"/>
    <col min="103" max="103" width="58" bestFit="1" customWidth="1"/>
    <col min="104" max="104" width="48.7109375" bestFit="1" customWidth="1"/>
    <col min="105" max="105" width="27.42578125" bestFit="1" customWidth="1"/>
    <col min="106" max="106" width="7.28515625" bestFit="1" customWidth="1"/>
    <col min="107" max="107" width="44.28515625" bestFit="1" customWidth="1"/>
    <col min="108" max="108" width="19.7109375" bestFit="1" customWidth="1"/>
    <col min="109" max="109" width="43.7109375" bestFit="1" customWidth="1"/>
    <col min="110" max="110" width="40" bestFit="1" customWidth="1"/>
    <col min="111" max="111" width="44.85546875" bestFit="1" customWidth="1"/>
    <col min="112" max="112" width="67.140625" bestFit="1" customWidth="1"/>
    <col min="113" max="113" width="58.140625" bestFit="1" customWidth="1"/>
    <col min="114" max="114" width="80.5703125" bestFit="1" customWidth="1"/>
    <col min="115" max="115" width="26.5703125" bestFit="1" customWidth="1"/>
    <col min="116" max="116" width="52.5703125" bestFit="1" customWidth="1"/>
    <col min="117" max="117" width="29.140625" bestFit="1" customWidth="1"/>
    <col min="118" max="118" width="39.5703125" bestFit="1" customWidth="1"/>
    <col min="119" max="119" width="41.42578125" bestFit="1" customWidth="1"/>
    <col min="120" max="120" width="63.85546875" bestFit="1" customWidth="1"/>
    <col min="121" max="121" width="55.85546875" bestFit="1" customWidth="1"/>
    <col min="122" max="122" width="44.85546875" bestFit="1" customWidth="1"/>
    <col min="123" max="123" width="44" bestFit="1" customWidth="1"/>
    <col min="124" max="124" width="63.5703125" bestFit="1" customWidth="1"/>
    <col min="125" max="125" width="30.28515625" bestFit="1" customWidth="1"/>
    <col min="126" max="126" width="41.5703125" bestFit="1" customWidth="1"/>
    <col min="127" max="127" width="25.85546875" bestFit="1" customWidth="1"/>
    <col min="128" max="128" width="34" bestFit="1" customWidth="1"/>
    <col min="129" max="129" width="60.28515625" bestFit="1" customWidth="1"/>
    <col min="130" max="130" width="62.42578125" bestFit="1" customWidth="1"/>
    <col min="131" max="131" width="77.28515625" bestFit="1" customWidth="1"/>
    <col min="132" max="132" width="42.140625" bestFit="1" customWidth="1"/>
    <col min="133" max="133" width="53.28515625" bestFit="1" customWidth="1"/>
    <col min="134" max="134" width="30.42578125" bestFit="1" customWidth="1"/>
    <col min="135" max="135" width="40.140625" bestFit="1" customWidth="1"/>
    <col min="136" max="136" width="59.5703125" bestFit="1" customWidth="1"/>
    <col min="137" max="137" width="44.28515625" bestFit="1" customWidth="1"/>
    <col min="138" max="138" width="51" bestFit="1" customWidth="1"/>
    <col min="139" max="139" width="35.42578125" bestFit="1" customWidth="1"/>
    <col min="140" max="140" width="44.85546875" bestFit="1" customWidth="1"/>
    <col min="141" max="141" width="41.140625" bestFit="1" customWidth="1"/>
    <col min="142" max="142" width="43.42578125" bestFit="1" customWidth="1"/>
    <col min="143" max="143" width="44.42578125" bestFit="1" customWidth="1"/>
    <col min="144" max="144" width="44.85546875" bestFit="1" customWidth="1"/>
    <col min="145" max="145" width="34.28515625" bestFit="1" customWidth="1"/>
    <col min="146" max="146" width="49.5703125" bestFit="1" customWidth="1"/>
    <col min="147" max="147" width="77.42578125" bestFit="1" customWidth="1"/>
    <col min="148" max="148" width="30.42578125" bestFit="1" customWidth="1"/>
    <col min="149" max="149" width="56" bestFit="1" customWidth="1"/>
    <col min="150" max="150" width="37.42578125" bestFit="1" customWidth="1"/>
    <col min="151" max="151" width="54" bestFit="1" customWidth="1"/>
    <col min="152" max="152" width="37.140625" bestFit="1" customWidth="1"/>
    <col min="153" max="153" width="29.28515625" bestFit="1" customWidth="1"/>
    <col min="154" max="154" width="32.85546875" bestFit="1" customWidth="1"/>
    <col min="155" max="155" width="36.28515625" bestFit="1" customWidth="1"/>
    <col min="156" max="156" width="54.140625" bestFit="1" customWidth="1"/>
    <col min="157" max="157" width="63.7109375" bestFit="1" customWidth="1"/>
    <col min="158" max="158" width="51.140625" bestFit="1" customWidth="1"/>
    <col min="159" max="159" width="30.85546875" bestFit="1" customWidth="1"/>
    <col min="160" max="160" width="22.140625" bestFit="1" customWidth="1"/>
    <col min="161" max="161" width="39.7109375" bestFit="1" customWidth="1"/>
    <col min="162" max="162" width="49.5703125" bestFit="1" customWidth="1"/>
    <col min="163" max="163" width="30.42578125" bestFit="1" customWidth="1"/>
    <col min="164" max="164" width="7.140625" bestFit="1" customWidth="1"/>
    <col min="165" max="165" width="39.5703125" bestFit="1" customWidth="1"/>
    <col min="166" max="166" width="54" bestFit="1" customWidth="1"/>
    <col min="167" max="167" width="38.85546875" bestFit="1" customWidth="1"/>
    <col min="168" max="168" width="74.28515625" bestFit="1" customWidth="1"/>
    <col min="169" max="169" width="79" bestFit="1" customWidth="1"/>
    <col min="170" max="170" width="30.28515625" bestFit="1" customWidth="1"/>
    <col min="171" max="171" width="21.5703125" bestFit="1" customWidth="1"/>
    <col min="172" max="172" width="52.140625" bestFit="1" customWidth="1"/>
    <col min="173" max="173" width="28.7109375" bestFit="1" customWidth="1"/>
    <col min="174" max="174" width="52.28515625" bestFit="1" customWidth="1"/>
    <col min="175" max="175" width="51.85546875" bestFit="1" customWidth="1"/>
    <col min="176" max="176" width="35" bestFit="1" customWidth="1"/>
    <col min="177" max="177" width="51.7109375" bestFit="1" customWidth="1"/>
    <col min="178" max="178" width="29.140625" bestFit="1" customWidth="1"/>
    <col min="179" max="179" width="76.28515625" bestFit="1" customWidth="1"/>
    <col min="180" max="180" width="20.28515625" bestFit="1" customWidth="1"/>
    <col min="181" max="181" width="24.140625" bestFit="1" customWidth="1"/>
    <col min="182" max="182" width="25.85546875" bestFit="1" customWidth="1"/>
    <col min="183" max="183" width="24.5703125" bestFit="1" customWidth="1"/>
    <col min="184" max="184" width="21" bestFit="1" customWidth="1"/>
    <col min="185" max="186" width="24.5703125" bestFit="1" customWidth="1"/>
    <col min="187" max="187" width="24.140625" bestFit="1" customWidth="1"/>
    <col min="188" max="188" width="18" bestFit="1" customWidth="1"/>
    <col min="189" max="189" width="20.7109375" bestFit="1" customWidth="1"/>
    <col min="190" max="190" width="19.140625" bestFit="1" customWidth="1"/>
    <col min="191" max="191" width="25.140625" bestFit="1" customWidth="1"/>
    <col min="192" max="192" width="46.7109375" bestFit="1" customWidth="1"/>
    <col min="193" max="193" width="28" bestFit="1" customWidth="1"/>
    <col min="194" max="194" width="30.42578125" bestFit="1" customWidth="1"/>
    <col min="195" max="195" width="23.85546875" bestFit="1" customWidth="1"/>
    <col min="196" max="196" width="30" bestFit="1" customWidth="1"/>
    <col min="197" max="197" width="27.7109375" bestFit="1" customWidth="1"/>
    <col min="198" max="198" width="20.85546875" bestFit="1" customWidth="1"/>
    <col min="199" max="199" width="60.85546875" bestFit="1" customWidth="1"/>
    <col min="200" max="200" width="30.5703125" bestFit="1" customWidth="1"/>
    <col min="201" max="201" width="34.85546875" bestFit="1" customWidth="1"/>
    <col min="202" max="202" width="44.140625" bestFit="1" customWidth="1"/>
    <col min="203" max="203" width="36" bestFit="1" customWidth="1"/>
    <col min="204" max="204" width="54.85546875" bestFit="1" customWidth="1"/>
    <col min="205" max="205" width="34.42578125" bestFit="1" customWidth="1"/>
    <col min="206" max="206" width="19.5703125" bestFit="1" customWidth="1"/>
    <col min="207" max="207" width="38.7109375" bestFit="1" customWidth="1"/>
    <col min="208" max="208" width="58" bestFit="1" customWidth="1"/>
    <col min="209" max="209" width="48.7109375" bestFit="1" customWidth="1"/>
    <col min="210" max="210" width="27.42578125" bestFit="1" customWidth="1"/>
    <col min="211" max="211" width="8.140625" bestFit="1" customWidth="1"/>
    <col min="212" max="212" width="21.85546875" bestFit="1" customWidth="1"/>
    <col min="213" max="213" width="24.140625" bestFit="1" customWidth="1"/>
    <col min="214" max="214" width="30.7109375" bestFit="1" customWidth="1"/>
    <col min="215" max="215" width="41.140625" bestFit="1" customWidth="1"/>
    <col min="216" max="216" width="67.7109375" bestFit="1" customWidth="1"/>
    <col min="217" max="217" width="38" bestFit="1" customWidth="1"/>
    <col min="218" max="218" width="39.5703125" bestFit="1" customWidth="1"/>
    <col min="219" max="219" width="41.42578125" bestFit="1" customWidth="1"/>
    <col min="220" max="220" width="77.42578125" bestFit="1" customWidth="1"/>
    <col min="221" max="221" width="42.85546875" bestFit="1" customWidth="1"/>
    <col min="222" max="222" width="24.5703125" bestFit="1" customWidth="1"/>
    <col min="223" max="223" width="31.85546875" bestFit="1" customWidth="1"/>
    <col min="224" max="224" width="38.42578125" bestFit="1" customWidth="1"/>
    <col min="225" max="225" width="51.5703125" bestFit="1" customWidth="1"/>
    <col min="226" max="226" width="51.28515625" bestFit="1" customWidth="1"/>
    <col min="227" max="227" width="51.42578125" bestFit="1" customWidth="1"/>
    <col min="228" max="228" width="62.28515625" bestFit="1" customWidth="1"/>
    <col min="229" max="229" width="57.85546875" bestFit="1" customWidth="1"/>
    <col min="230" max="230" width="50.42578125" bestFit="1" customWidth="1"/>
    <col min="231" max="231" width="34.5703125" bestFit="1" customWidth="1"/>
    <col min="232" max="232" width="60.28515625" bestFit="1" customWidth="1"/>
    <col min="233" max="233" width="53.42578125" bestFit="1" customWidth="1"/>
    <col min="234" max="234" width="60.85546875" bestFit="1" customWidth="1"/>
    <col min="235" max="235" width="36.5703125" bestFit="1" customWidth="1"/>
    <col min="236" max="236" width="61.85546875" bestFit="1" customWidth="1"/>
    <col min="237" max="237" width="62.28515625" bestFit="1" customWidth="1"/>
    <col min="238" max="238" width="56.7109375" bestFit="1" customWidth="1"/>
    <col min="239" max="239" width="30.5703125" bestFit="1" customWidth="1"/>
    <col min="240" max="240" width="39.28515625" bestFit="1" customWidth="1"/>
    <col min="241" max="241" width="49.140625" bestFit="1" customWidth="1"/>
    <col min="242" max="242" width="76.5703125" bestFit="1" customWidth="1"/>
    <col min="243" max="243" width="34" bestFit="1" customWidth="1"/>
    <col min="244" max="244" width="33.5703125" bestFit="1" customWidth="1"/>
    <col min="245" max="245" width="39.7109375" bestFit="1" customWidth="1"/>
    <col min="246" max="246" width="51.85546875" bestFit="1" customWidth="1"/>
    <col min="247" max="247" width="48.85546875" bestFit="1" customWidth="1"/>
    <col min="248" max="248" width="59.7109375" bestFit="1" customWidth="1"/>
    <col min="249" max="249" width="39.28515625" bestFit="1" customWidth="1"/>
    <col min="250" max="250" width="51.5703125" bestFit="1" customWidth="1"/>
    <col min="251" max="251" width="80.28515625" bestFit="1" customWidth="1"/>
    <col min="252" max="252" width="74.140625" bestFit="1" customWidth="1"/>
    <col min="253" max="253" width="39.7109375" bestFit="1" customWidth="1"/>
    <col min="254" max="254" width="77.28515625" bestFit="1" customWidth="1"/>
    <col min="255" max="255" width="39" bestFit="1" customWidth="1"/>
    <col min="256" max="256" width="36.140625" bestFit="1" customWidth="1"/>
    <col min="257" max="257" width="66.28515625" bestFit="1" customWidth="1"/>
    <col min="258" max="258" width="42.85546875" bestFit="1" customWidth="1"/>
    <col min="259" max="259" width="38.28515625" bestFit="1" customWidth="1"/>
    <col min="260" max="260" width="19.28515625" bestFit="1" customWidth="1"/>
    <col min="261" max="261" width="42.5703125" bestFit="1" customWidth="1"/>
    <col min="262" max="262" width="60.85546875" bestFit="1" customWidth="1"/>
    <col min="263" max="263" width="64" bestFit="1" customWidth="1"/>
    <col min="264" max="264" width="41.5703125" bestFit="1" customWidth="1"/>
    <col min="265" max="265" width="59.140625" bestFit="1" customWidth="1"/>
    <col min="266" max="266" width="59.85546875" bestFit="1" customWidth="1"/>
    <col min="267" max="267" width="48.5703125" bestFit="1" customWidth="1"/>
    <col min="268" max="268" width="57.42578125" bestFit="1" customWidth="1"/>
    <col min="269" max="269" width="7.28515625" bestFit="1" customWidth="1"/>
    <col min="270" max="270" width="30.7109375" bestFit="1" customWidth="1"/>
    <col min="271" max="271" width="41.140625" bestFit="1" customWidth="1"/>
    <col min="272" max="272" width="67.7109375" bestFit="1" customWidth="1"/>
    <col min="273" max="273" width="38" bestFit="1" customWidth="1"/>
    <col min="274" max="274" width="39.5703125" bestFit="1" customWidth="1"/>
    <col min="275" max="275" width="41.42578125" bestFit="1" customWidth="1"/>
    <col min="276" max="276" width="77.42578125" bestFit="1" customWidth="1"/>
    <col min="277" max="277" width="42.85546875" bestFit="1" customWidth="1"/>
    <col min="278" max="278" width="24.5703125" bestFit="1" customWidth="1"/>
    <col min="279" max="279" width="31.85546875" bestFit="1" customWidth="1"/>
    <col min="280" max="280" width="38.42578125" bestFit="1" customWidth="1"/>
    <col min="281" max="281" width="51.5703125" bestFit="1" customWidth="1"/>
    <col min="282" max="282" width="51.28515625" bestFit="1" customWidth="1"/>
    <col min="283" max="283" width="51.42578125" bestFit="1" customWidth="1"/>
    <col min="284" max="284" width="62.28515625" bestFit="1" customWidth="1"/>
    <col min="285" max="285" width="57.85546875" bestFit="1" customWidth="1"/>
    <col min="286" max="286" width="50.42578125" bestFit="1" customWidth="1"/>
    <col min="287" max="287" width="34.5703125" bestFit="1" customWidth="1"/>
    <col min="288" max="288" width="60.28515625" bestFit="1" customWidth="1"/>
    <col min="289" max="289" width="53.42578125" bestFit="1" customWidth="1"/>
    <col min="290" max="290" width="60.85546875" bestFit="1" customWidth="1"/>
    <col min="291" max="291" width="36.5703125" bestFit="1" customWidth="1"/>
    <col min="292" max="292" width="61.85546875" bestFit="1" customWidth="1"/>
    <col min="293" max="293" width="62.28515625" bestFit="1" customWidth="1"/>
    <col min="294" max="294" width="56.7109375" bestFit="1" customWidth="1"/>
    <col min="295" max="295" width="30.5703125" bestFit="1" customWidth="1"/>
    <col min="296" max="296" width="39.28515625" bestFit="1" customWidth="1"/>
    <col min="297" max="297" width="49.140625" bestFit="1" customWidth="1"/>
    <col min="298" max="298" width="76.5703125" bestFit="1" customWidth="1"/>
    <col min="299" max="299" width="34" bestFit="1" customWidth="1"/>
    <col min="300" max="300" width="33.5703125" bestFit="1" customWidth="1"/>
    <col min="301" max="301" width="39.7109375" bestFit="1" customWidth="1"/>
    <col min="302" max="302" width="51.85546875" bestFit="1" customWidth="1"/>
    <col min="303" max="303" width="48.85546875" bestFit="1" customWidth="1"/>
    <col min="304" max="304" width="59.7109375" bestFit="1" customWidth="1"/>
    <col min="305" max="305" width="39.28515625" bestFit="1" customWidth="1"/>
    <col min="306" max="306" width="51.5703125" bestFit="1" customWidth="1"/>
    <col min="307" max="307" width="80.28515625" bestFit="1" customWidth="1"/>
    <col min="308" max="308" width="74.140625" bestFit="1" customWidth="1"/>
    <col min="309" max="309" width="39.7109375" bestFit="1" customWidth="1"/>
    <col min="310" max="310" width="77.28515625" bestFit="1" customWidth="1"/>
    <col min="311" max="311" width="39" bestFit="1" customWidth="1"/>
    <col min="312" max="312" width="36.140625" bestFit="1" customWidth="1"/>
    <col min="313" max="313" width="66.28515625" bestFit="1" customWidth="1"/>
    <col min="314" max="314" width="42.85546875" bestFit="1" customWidth="1"/>
    <col min="315" max="315" width="38.28515625" bestFit="1" customWidth="1"/>
    <col min="316" max="316" width="19.28515625" bestFit="1" customWidth="1"/>
    <col min="317" max="317" width="42.5703125" bestFit="1" customWidth="1"/>
    <col min="318" max="318" width="60.85546875" bestFit="1" customWidth="1"/>
    <col min="319" max="319" width="64" bestFit="1" customWidth="1"/>
    <col min="320" max="320" width="41.5703125" bestFit="1" customWidth="1"/>
    <col min="321" max="321" width="59.140625" bestFit="1" customWidth="1"/>
    <col min="322" max="322" width="59.85546875" bestFit="1" customWidth="1"/>
    <col min="323" max="323" width="48.5703125" bestFit="1" customWidth="1"/>
    <col min="324" max="324" width="57.42578125" bestFit="1" customWidth="1"/>
    <col min="325" max="325" width="7.28515625" bestFit="1" customWidth="1"/>
    <col min="326" max="326" width="21.42578125" bestFit="1" customWidth="1"/>
    <col min="327" max="327" width="23.7109375" bestFit="1" customWidth="1"/>
    <col min="328" max="328" width="48.7109375" bestFit="1" customWidth="1"/>
    <col min="329" max="329" width="51.85546875" bestFit="1" customWidth="1"/>
    <col min="330" max="330" width="64.140625" bestFit="1" customWidth="1"/>
    <col min="331" max="331" width="28.42578125" bestFit="1" customWidth="1"/>
    <col min="332" max="332" width="78.28515625" bestFit="1" customWidth="1"/>
    <col min="333" max="333" width="39" bestFit="1" customWidth="1"/>
    <col min="334" max="334" width="37.7109375" bestFit="1" customWidth="1"/>
    <col min="335" max="335" width="28.140625" bestFit="1" customWidth="1"/>
    <col min="336" max="336" width="30.140625" bestFit="1" customWidth="1"/>
    <col min="337" max="337" width="51.28515625" bestFit="1" customWidth="1"/>
    <col min="338" max="338" width="44.28515625" bestFit="1" customWidth="1"/>
    <col min="339" max="339" width="68.85546875" bestFit="1" customWidth="1"/>
    <col min="340" max="340" width="39.85546875" bestFit="1" customWidth="1"/>
    <col min="341" max="341" width="59.85546875" bestFit="1" customWidth="1"/>
    <col min="342" max="342" width="62.5703125" bestFit="1" customWidth="1"/>
    <col min="343" max="343" width="51.7109375" bestFit="1" customWidth="1"/>
    <col min="344" max="344" width="38.85546875" bestFit="1" customWidth="1"/>
    <col min="345" max="345" width="50.140625" bestFit="1" customWidth="1"/>
    <col min="346" max="346" width="68.28515625" bestFit="1" customWidth="1"/>
    <col min="347" max="347" width="50.42578125" bestFit="1" customWidth="1"/>
    <col min="348" max="348" width="49.140625" bestFit="1" customWidth="1"/>
    <col min="349" max="349" width="45" bestFit="1" customWidth="1"/>
    <col min="350" max="350" width="46.5703125" bestFit="1" customWidth="1"/>
    <col min="351" max="351" width="40" bestFit="1" customWidth="1"/>
    <col min="352" max="352" width="28.7109375" bestFit="1" customWidth="1"/>
    <col min="353" max="353" width="7.28515625" bestFit="1" customWidth="1"/>
    <col min="354" max="354" width="48.7109375" bestFit="1" customWidth="1"/>
    <col min="355" max="355" width="51.85546875" bestFit="1" customWidth="1"/>
    <col min="356" max="356" width="64.140625" bestFit="1" customWidth="1"/>
    <col min="357" max="357" width="28.42578125" bestFit="1" customWidth="1"/>
    <col min="358" max="358" width="78.28515625" bestFit="1" customWidth="1"/>
    <col min="359" max="359" width="39" bestFit="1" customWidth="1"/>
    <col min="360" max="360" width="37.7109375" bestFit="1" customWidth="1"/>
    <col min="361" max="361" width="28.140625" bestFit="1" customWidth="1"/>
    <col min="362" max="362" width="30.140625" bestFit="1" customWidth="1"/>
    <col min="363" max="363" width="51.28515625" bestFit="1" customWidth="1"/>
    <col min="364" max="364" width="44.28515625" bestFit="1" customWidth="1"/>
    <col min="365" max="365" width="68.85546875" bestFit="1" customWidth="1"/>
    <col min="366" max="366" width="39.85546875" bestFit="1" customWidth="1"/>
    <col min="367" max="367" width="59.85546875" bestFit="1" customWidth="1"/>
    <col min="368" max="368" width="62.5703125" bestFit="1" customWidth="1"/>
    <col min="369" max="369" width="51.7109375" bestFit="1" customWidth="1"/>
    <col min="370" max="370" width="38.85546875" bestFit="1" customWidth="1"/>
    <col min="371" max="371" width="50.140625" bestFit="1" customWidth="1"/>
    <col min="372" max="372" width="68.28515625" bestFit="1" customWidth="1"/>
    <col min="373" max="373" width="50.42578125" bestFit="1" customWidth="1"/>
    <col min="374" max="374" width="49.140625" bestFit="1" customWidth="1"/>
    <col min="375" max="375" width="45" bestFit="1" customWidth="1"/>
    <col min="376" max="376" width="46.5703125" bestFit="1" customWidth="1"/>
    <col min="377" max="377" width="40" bestFit="1" customWidth="1"/>
    <col min="378" max="378" width="28.7109375" bestFit="1" customWidth="1"/>
    <col min="379" max="379" width="7.28515625" bestFit="1" customWidth="1"/>
    <col min="380" max="380" width="22.85546875" bestFit="1" customWidth="1"/>
    <col min="381" max="381" width="25.140625" bestFit="1" customWidth="1"/>
    <col min="382" max="382" width="10.7109375" bestFit="1" customWidth="1"/>
    <col min="383" max="383" width="9.140625" bestFit="1" customWidth="1"/>
    <col min="384" max="384" width="26" bestFit="1" customWidth="1"/>
    <col min="385" max="385" width="28.28515625" bestFit="1" customWidth="1"/>
    <col min="386" max="386" width="11.140625" bestFit="1" customWidth="1"/>
    <col min="387" max="387" width="9.7109375" bestFit="1" customWidth="1"/>
    <col min="388" max="556" width="11.7109375" bestFit="1" customWidth="1"/>
    <col min="557" max="644" width="10.7109375" bestFit="1" customWidth="1"/>
    <col min="645" max="645" width="7.28515625" bestFit="1" customWidth="1"/>
    <col min="646" max="646" width="12.140625" bestFit="1" customWidth="1"/>
    <col min="647" max="647" width="11.28515625" bestFit="1" customWidth="1"/>
  </cols>
  <sheetData>
    <row r="3" spans="1:16">
      <c r="B3" s="247" t="s">
        <v>2179</v>
      </c>
      <c r="L3" s="215"/>
      <c r="M3" s="215"/>
      <c r="N3" s="215"/>
      <c r="O3" s="215"/>
      <c r="P3" s="215"/>
    </row>
    <row r="4" spans="1:16">
      <c r="B4" s="215" t="s">
        <v>97</v>
      </c>
      <c r="E4" s="215" t="s">
        <v>118</v>
      </c>
      <c r="H4" s="215" t="s">
        <v>122</v>
      </c>
      <c r="K4" s="215" t="s">
        <v>2176</v>
      </c>
      <c r="L4" s="215"/>
      <c r="M4" s="215"/>
      <c r="N4" s="215" t="s">
        <v>2180</v>
      </c>
      <c r="O4" s="215" t="s">
        <v>2391</v>
      </c>
      <c r="P4" s="143" t="s">
        <v>2393</v>
      </c>
    </row>
    <row r="5" spans="1:16" ht="30">
      <c r="A5" s="212" t="s">
        <v>2175</v>
      </c>
      <c r="B5" s="215" t="s">
        <v>2178</v>
      </c>
      <c r="C5" s="215" t="s">
        <v>2392</v>
      </c>
      <c r="D5" s="143" t="s">
        <v>2394</v>
      </c>
      <c r="E5" s="215" t="s">
        <v>2178</v>
      </c>
      <c r="F5" s="215" t="s">
        <v>2392</v>
      </c>
      <c r="G5" s="143" t="s">
        <v>2394</v>
      </c>
      <c r="H5" s="215" t="s">
        <v>2178</v>
      </c>
      <c r="I5" s="215" t="s">
        <v>2392</v>
      </c>
      <c r="J5" s="143" t="s">
        <v>2394</v>
      </c>
      <c r="K5" s="215" t="s">
        <v>2178</v>
      </c>
      <c r="L5" s="215" t="s">
        <v>2392</v>
      </c>
      <c r="M5" s="143" t="s">
        <v>2394</v>
      </c>
      <c r="N5" s="215"/>
      <c r="O5" s="215"/>
    </row>
    <row r="6" spans="1:16">
      <c r="A6" s="213" t="s">
        <v>2176</v>
      </c>
      <c r="B6" s="248"/>
      <c r="C6" s="249"/>
      <c r="D6" s="248"/>
      <c r="E6" s="248"/>
      <c r="F6" s="249"/>
      <c r="G6" s="248"/>
      <c r="H6" s="248"/>
      <c r="I6" s="249"/>
      <c r="J6" s="248"/>
      <c r="K6" s="248">
        <v>702</v>
      </c>
      <c r="L6" s="249">
        <v>12.311770833333338</v>
      </c>
      <c r="M6" s="248"/>
      <c r="N6" s="248">
        <v>702</v>
      </c>
      <c r="O6" s="249">
        <v>12.311770833333338</v>
      </c>
      <c r="P6" s="248"/>
    </row>
    <row r="7" spans="1:16">
      <c r="A7" s="213" t="s">
        <v>2181</v>
      </c>
      <c r="B7" s="248">
        <v>17</v>
      </c>
      <c r="C7" s="249">
        <v>0.10484953703703703</v>
      </c>
      <c r="D7" s="248">
        <v>32</v>
      </c>
      <c r="E7" s="248">
        <v>7</v>
      </c>
      <c r="F7" s="249">
        <v>5.0439814814814812E-2</v>
      </c>
      <c r="G7" s="248">
        <v>24</v>
      </c>
      <c r="H7" s="248"/>
      <c r="I7" s="249"/>
      <c r="J7" s="248"/>
      <c r="K7" s="248"/>
      <c r="L7" s="249"/>
      <c r="M7" s="248"/>
      <c r="N7" s="248">
        <v>24</v>
      </c>
      <c r="O7" s="249">
        <v>0.15528935185185186</v>
      </c>
      <c r="P7" s="248">
        <v>56</v>
      </c>
    </row>
    <row r="8" spans="1:16">
      <c r="A8" s="213" t="s">
        <v>2182</v>
      </c>
      <c r="B8" s="248">
        <v>1</v>
      </c>
      <c r="C8" s="249">
        <v>3.6041666666666666E-2</v>
      </c>
      <c r="D8" s="248">
        <v>7</v>
      </c>
      <c r="E8" s="248"/>
      <c r="F8" s="249"/>
      <c r="G8" s="248"/>
      <c r="H8" s="248"/>
      <c r="I8" s="249"/>
      <c r="J8" s="248"/>
      <c r="K8" s="248"/>
      <c r="L8" s="249"/>
      <c r="M8" s="248"/>
      <c r="N8" s="248">
        <v>1</v>
      </c>
      <c r="O8" s="249">
        <v>3.6041666666666666E-2</v>
      </c>
      <c r="P8" s="248">
        <v>7</v>
      </c>
    </row>
    <row r="9" spans="1:16">
      <c r="A9" s="213" t="s">
        <v>2183</v>
      </c>
      <c r="B9" s="248">
        <v>5</v>
      </c>
      <c r="C9" s="249">
        <v>0.26827546296296295</v>
      </c>
      <c r="D9" s="248">
        <v>46</v>
      </c>
      <c r="E9" s="248">
        <v>3</v>
      </c>
      <c r="F9" s="249">
        <v>4.1944444444444437E-2</v>
      </c>
      <c r="G9" s="248">
        <v>13</v>
      </c>
      <c r="H9" s="248">
        <v>1</v>
      </c>
      <c r="I9" s="249">
        <v>5.0972222222222224E-2</v>
      </c>
      <c r="J9" s="248">
        <v>12</v>
      </c>
      <c r="K9" s="248"/>
      <c r="L9" s="249"/>
      <c r="M9" s="248"/>
      <c r="N9" s="248">
        <v>9</v>
      </c>
      <c r="O9" s="249">
        <v>0.36119212962962965</v>
      </c>
      <c r="P9" s="248">
        <v>71</v>
      </c>
    </row>
    <row r="10" spans="1:16">
      <c r="A10" s="213" t="s">
        <v>2184</v>
      </c>
      <c r="B10" s="248">
        <v>1</v>
      </c>
      <c r="C10" s="249">
        <v>6.6493055555555555E-2</v>
      </c>
      <c r="D10" s="248">
        <v>10</v>
      </c>
      <c r="E10" s="248">
        <v>8</v>
      </c>
      <c r="F10" s="249">
        <v>6.1192129629629631E-2</v>
      </c>
      <c r="G10" s="248">
        <v>21</v>
      </c>
      <c r="H10" s="248">
        <v>10</v>
      </c>
      <c r="I10" s="249">
        <v>5.3298611111111109E-2</v>
      </c>
      <c r="J10" s="248">
        <v>13</v>
      </c>
      <c r="K10" s="248"/>
      <c r="L10" s="249"/>
      <c r="M10" s="248"/>
      <c r="N10" s="248">
        <v>19</v>
      </c>
      <c r="O10" s="249">
        <v>0.18098379629629627</v>
      </c>
      <c r="P10" s="248">
        <v>44</v>
      </c>
    </row>
    <row r="11" spans="1:16">
      <c r="A11" s="213" t="s">
        <v>2185</v>
      </c>
      <c r="B11" s="248">
        <v>1</v>
      </c>
      <c r="C11" s="249">
        <v>4.7199074074074067E-2</v>
      </c>
      <c r="D11" s="248">
        <v>9</v>
      </c>
      <c r="E11" s="248">
        <v>1</v>
      </c>
      <c r="F11" s="249">
        <v>8.9814814814814809E-3</v>
      </c>
      <c r="G11" s="248">
        <v>4</v>
      </c>
      <c r="H11" s="248"/>
      <c r="I11" s="249"/>
      <c r="J11" s="248"/>
      <c r="K11" s="248"/>
      <c r="L11" s="249"/>
      <c r="M11" s="248"/>
      <c r="N11" s="248">
        <v>2</v>
      </c>
      <c r="O11" s="249">
        <v>5.6180555555555546E-2</v>
      </c>
      <c r="P11" s="248">
        <v>13</v>
      </c>
    </row>
    <row r="12" spans="1:16">
      <c r="A12" s="213" t="s">
        <v>2177</v>
      </c>
      <c r="B12" s="248">
        <v>25</v>
      </c>
      <c r="C12" s="249">
        <v>0.52285879629629628</v>
      </c>
      <c r="D12" s="248">
        <v>104</v>
      </c>
      <c r="E12" s="248">
        <v>19</v>
      </c>
      <c r="F12" s="249">
        <v>0.16255787037037037</v>
      </c>
      <c r="G12" s="248">
        <v>62</v>
      </c>
      <c r="H12" s="248">
        <v>11</v>
      </c>
      <c r="I12" s="249">
        <v>0.10427083333333334</v>
      </c>
      <c r="J12" s="248">
        <v>25</v>
      </c>
      <c r="K12" s="248">
        <v>702</v>
      </c>
      <c r="L12" s="249">
        <v>12.311770833333338</v>
      </c>
      <c r="M12" s="248"/>
      <c r="N12" s="248">
        <v>757</v>
      </c>
      <c r="O12" s="249">
        <v>13.101458333333335</v>
      </c>
      <c r="P12" s="248">
        <v>191</v>
      </c>
    </row>
    <row r="13" spans="1:16">
      <c r="B13"/>
      <c r="C13"/>
      <c r="D13"/>
      <c r="E13"/>
      <c r="F13"/>
      <c r="G13"/>
      <c r="H13"/>
      <c r="I13"/>
      <c r="J13"/>
      <c r="K1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1"/>
  <sheetViews>
    <sheetView workbookViewId="0"/>
  </sheetViews>
  <sheetFormatPr defaultColWidth="12.5703125" defaultRowHeight="15" customHeight="1"/>
  <cols>
    <col min="1" max="1" width="15.5703125" style="198" customWidth="1"/>
    <col min="2" max="2" width="20.140625" style="198" customWidth="1"/>
    <col min="3" max="3" width="11" style="198" customWidth="1"/>
    <col min="4" max="4" width="23.42578125" style="198" customWidth="1"/>
    <col min="5" max="5" width="15.42578125" style="198" customWidth="1"/>
    <col min="6" max="6" width="27.42578125" style="198" customWidth="1"/>
    <col min="7" max="26" width="11" style="198" customWidth="1"/>
    <col min="27" max="16384" width="12.5703125" style="198"/>
  </cols>
  <sheetData>
    <row r="1" spans="1:6">
      <c r="A1" s="196" t="s">
        <v>0</v>
      </c>
      <c r="B1" s="197" t="s">
        <v>1</v>
      </c>
      <c r="C1" s="197"/>
      <c r="D1" s="197"/>
      <c r="E1" s="197"/>
      <c r="F1" s="197"/>
    </row>
    <row r="2" spans="1:6">
      <c r="A2" s="196" t="s">
        <v>2</v>
      </c>
      <c r="B2" s="197" t="s">
        <v>3</v>
      </c>
      <c r="C2" s="197"/>
      <c r="D2" s="197"/>
      <c r="E2" s="197"/>
      <c r="F2" s="197"/>
    </row>
    <row r="3" spans="1:6">
      <c r="A3" s="196" t="s">
        <v>4</v>
      </c>
      <c r="B3" s="197" t="s">
        <v>5</v>
      </c>
      <c r="C3" s="197"/>
      <c r="D3" s="197"/>
      <c r="E3" s="197"/>
      <c r="F3" s="197"/>
    </row>
    <row r="4" spans="1:6">
      <c r="A4" s="196" t="s">
        <v>6</v>
      </c>
      <c r="B4" s="197" t="s">
        <v>7</v>
      </c>
      <c r="C4" s="197"/>
      <c r="D4" s="197"/>
      <c r="E4" s="197"/>
      <c r="F4" s="197"/>
    </row>
    <row r="5" spans="1:6">
      <c r="A5" s="196" t="s">
        <v>8</v>
      </c>
      <c r="B5" s="197"/>
      <c r="C5" s="197"/>
      <c r="D5" s="197"/>
      <c r="E5" s="197"/>
      <c r="F5" s="197"/>
    </row>
    <row r="6" spans="1:6">
      <c r="A6" s="197" t="s">
        <v>9</v>
      </c>
      <c r="B6" s="197" t="s">
        <v>10</v>
      </c>
      <c r="C6" s="197" t="s">
        <v>11</v>
      </c>
      <c r="D6" s="197" t="s">
        <v>12</v>
      </c>
      <c r="E6" s="197" t="s">
        <v>13</v>
      </c>
      <c r="F6" s="197" t="s">
        <v>14</v>
      </c>
    </row>
    <row r="7" spans="1:6">
      <c r="A7" s="197">
        <v>1</v>
      </c>
      <c r="B7" s="197" t="s">
        <v>15</v>
      </c>
      <c r="C7" s="197" t="s">
        <v>16</v>
      </c>
      <c r="D7" s="197" t="s">
        <v>17</v>
      </c>
      <c r="E7" s="197" t="s">
        <v>18</v>
      </c>
      <c r="F7" s="197" t="s">
        <v>19</v>
      </c>
    </row>
    <row r="8" spans="1:6">
      <c r="A8" s="197">
        <v>2</v>
      </c>
      <c r="B8" s="197" t="s">
        <v>20</v>
      </c>
      <c r="C8" s="197" t="s">
        <v>16</v>
      </c>
      <c r="D8" s="197" t="s">
        <v>21</v>
      </c>
      <c r="E8" s="197" t="s">
        <v>22</v>
      </c>
      <c r="F8" s="197" t="s">
        <v>19</v>
      </c>
    </row>
    <row r="9" spans="1:6">
      <c r="A9" s="197">
        <v>3</v>
      </c>
      <c r="B9" s="197" t="s">
        <v>23</v>
      </c>
      <c r="C9" s="197" t="s">
        <v>16</v>
      </c>
      <c r="D9" s="199" t="s">
        <v>24</v>
      </c>
      <c r="E9" s="197" t="s">
        <v>25</v>
      </c>
      <c r="F9" s="197" t="s">
        <v>19</v>
      </c>
    </row>
    <row r="10" spans="1:6">
      <c r="A10" s="197">
        <v>4</v>
      </c>
      <c r="B10" s="197" t="s">
        <v>26</v>
      </c>
      <c r="C10" s="197" t="s">
        <v>27</v>
      </c>
      <c r="D10" s="197" t="s">
        <v>28</v>
      </c>
      <c r="E10" s="197" t="s">
        <v>29</v>
      </c>
      <c r="F10" s="197" t="s">
        <v>19</v>
      </c>
    </row>
    <row r="11" spans="1:6">
      <c r="A11" s="197">
        <v>5</v>
      </c>
      <c r="B11" s="199" t="s">
        <v>30</v>
      </c>
      <c r="C11" s="200" t="s">
        <v>31</v>
      </c>
      <c r="D11" s="199" t="s">
        <v>32</v>
      </c>
      <c r="E11" s="197" t="s">
        <v>33</v>
      </c>
      <c r="F11" s="197" t="s">
        <v>34</v>
      </c>
    </row>
    <row r="12" spans="1:6">
      <c r="A12" s="197">
        <v>6</v>
      </c>
      <c r="B12" s="201" t="s">
        <v>35</v>
      </c>
      <c r="C12" s="200" t="s">
        <v>31</v>
      </c>
      <c r="D12" s="201" t="s">
        <v>36</v>
      </c>
      <c r="E12" s="197" t="s">
        <v>37</v>
      </c>
      <c r="F12" s="201" t="s">
        <v>38</v>
      </c>
    </row>
    <row r="13" spans="1:6">
      <c r="A13" s="197">
        <v>7</v>
      </c>
      <c r="B13" s="201" t="s">
        <v>39</v>
      </c>
      <c r="C13" s="197"/>
      <c r="D13" s="202" t="s">
        <v>40</v>
      </c>
      <c r="E13" s="197"/>
      <c r="F13" s="197" t="s">
        <v>19</v>
      </c>
    </row>
    <row r="14" spans="1:6">
      <c r="A14" s="197">
        <v>8</v>
      </c>
      <c r="B14" s="197" t="s">
        <v>41</v>
      </c>
      <c r="C14" s="197"/>
      <c r="D14" s="197" t="s">
        <v>42</v>
      </c>
      <c r="E14" s="197"/>
      <c r="F14" s="197" t="s">
        <v>38</v>
      </c>
    </row>
    <row r="15" spans="1:6">
      <c r="A15" s="197">
        <v>9</v>
      </c>
      <c r="B15" s="197" t="s">
        <v>43</v>
      </c>
      <c r="C15" s="197"/>
      <c r="D15" s="197" t="s">
        <v>44</v>
      </c>
      <c r="E15" s="197"/>
      <c r="F15" s="201" t="s">
        <v>45</v>
      </c>
    </row>
    <row r="16" spans="1:6">
      <c r="A16" s="197">
        <v>10</v>
      </c>
      <c r="B16" s="197" t="s">
        <v>46</v>
      </c>
      <c r="C16" s="197"/>
      <c r="D16" s="197" t="s">
        <v>47</v>
      </c>
      <c r="E16" s="197"/>
      <c r="F16" s="201" t="s">
        <v>45</v>
      </c>
    </row>
    <row r="17" spans="1:6">
      <c r="A17" s="197">
        <v>11</v>
      </c>
      <c r="B17" s="197" t="s">
        <v>48</v>
      </c>
      <c r="C17" s="197" t="s">
        <v>49</v>
      </c>
      <c r="D17" s="197" t="s">
        <v>50</v>
      </c>
      <c r="E17" s="197" t="s">
        <v>51</v>
      </c>
      <c r="F17" s="197" t="s">
        <v>45</v>
      </c>
    </row>
    <row r="18" spans="1:6">
      <c r="A18" s="197">
        <v>12</v>
      </c>
      <c r="B18" s="197" t="s">
        <v>52</v>
      </c>
      <c r="C18" s="197"/>
      <c r="D18" s="197"/>
      <c r="E18" s="197"/>
      <c r="F18" s="197" t="s">
        <v>53</v>
      </c>
    </row>
    <row r="19" spans="1:6">
      <c r="A19" s="197">
        <v>13</v>
      </c>
      <c r="B19" s="197" t="s">
        <v>54</v>
      </c>
      <c r="C19" s="197"/>
      <c r="D19" s="197"/>
      <c r="E19" s="197"/>
      <c r="F19" s="197" t="s">
        <v>53</v>
      </c>
    </row>
    <row r="21" spans="1:6">
      <c r="A21" s="196"/>
      <c r="B21" s="197"/>
      <c r="C21" s="197"/>
      <c r="E21" s="197"/>
      <c r="F21" s="197"/>
    </row>
    <row r="22" spans="1:6">
      <c r="A22" s="196" t="s">
        <v>55</v>
      </c>
      <c r="B22" s="197"/>
      <c r="C22" s="197"/>
      <c r="D22" s="197"/>
      <c r="E22" s="197"/>
      <c r="F22" s="197"/>
    </row>
    <row r="23" spans="1:6">
      <c r="A23" s="197"/>
      <c r="B23" s="197" t="s">
        <v>56</v>
      </c>
      <c r="C23" s="197"/>
      <c r="D23" s="197"/>
      <c r="E23" s="197"/>
      <c r="F23" s="197"/>
    </row>
    <row r="24" spans="1:6">
      <c r="A24" s="197"/>
      <c r="B24" s="197"/>
      <c r="C24" s="197"/>
      <c r="D24" s="197"/>
      <c r="E24" s="197"/>
      <c r="F24" s="197"/>
    </row>
    <row r="25" spans="1:6">
      <c r="A25" s="196" t="s">
        <v>57</v>
      </c>
      <c r="B25" s="199" t="s">
        <v>58</v>
      </c>
      <c r="C25" s="197"/>
      <c r="D25" s="197"/>
      <c r="E25" s="197"/>
      <c r="F25" s="197"/>
    </row>
    <row r="26" spans="1:6">
      <c r="A26" s="197"/>
      <c r="B26" s="203" t="s">
        <v>59</v>
      </c>
      <c r="C26" s="197"/>
      <c r="D26" s="197"/>
      <c r="E26" s="197"/>
      <c r="F26" s="197"/>
    </row>
    <row r="27" spans="1:6">
      <c r="A27" s="197"/>
      <c r="B27" s="203"/>
      <c r="C27" s="197"/>
      <c r="D27" s="197"/>
      <c r="E27" s="197"/>
      <c r="F27" s="197"/>
    </row>
    <row r="28" spans="1:6">
      <c r="A28" s="197"/>
      <c r="B28" s="203"/>
      <c r="C28" s="197"/>
      <c r="D28" s="197"/>
      <c r="E28" s="197"/>
      <c r="F28" s="197"/>
    </row>
    <row r="29" spans="1:6">
      <c r="A29" s="196" t="s">
        <v>60</v>
      </c>
      <c r="B29" s="203"/>
      <c r="C29" s="197"/>
      <c r="D29" s="197"/>
      <c r="E29" s="197"/>
      <c r="F29" s="197"/>
    </row>
    <row r="30" spans="1:6">
      <c r="A30" s="197">
        <v>1</v>
      </c>
      <c r="B30" s="203" t="s">
        <v>61</v>
      </c>
      <c r="C30" s="197"/>
      <c r="D30" s="197"/>
      <c r="E30" s="197"/>
      <c r="F30" s="197"/>
    </row>
    <row r="31" spans="1:6">
      <c r="A31" s="197">
        <v>2</v>
      </c>
      <c r="B31" s="203" t="s">
        <v>62</v>
      </c>
      <c r="C31" s="197"/>
      <c r="D31" s="197"/>
      <c r="E31" s="197"/>
      <c r="F31" s="197"/>
    </row>
    <row r="32" spans="1:6">
      <c r="A32" s="197">
        <v>3</v>
      </c>
      <c r="B32" s="203" t="s">
        <v>63</v>
      </c>
      <c r="C32" s="197"/>
      <c r="D32" s="197"/>
      <c r="E32" s="197"/>
      <c r="F32" s="197"/>
    </row>
    <row r="33" spans="1:6">
      <c r="A33" s="197">
        <v>4</v>
      </c>
      <c r="B33" s="203" t="s">
        <v>64</v>
      </c>
      <c r="C33" s="197"/>
      <c r="D33" s="197"/>
      <c r="E33" s="197"/>
      <c r="F33" s="197"/>
    </row>
    <row r="34" spans="1:6">
      <c r="A34" s="197">
        <v>5</v>
      </c>
      <c r="B34" s="203" t="s">
        <v>65</v>
      </c>
      <c r="C34" s="197"/>
      <c r="D34" s="197"/>
      <c r="E34" s="197"/>
      <c r="F34" s="197"/>
    </row>
    <row r="35" spans="1:6">
      <c r="A35" s="197">
        <v>6</v>
      </c>
      <c r="B35" s="203" t="s">
        <v>66</v>
      </c>
      <c r="C35" s="197"/>
      <c r="D35" s="197"/>
      <c r="E35" s="197"/>
      <c r="F35" s="197"/>
    </row>
    <row r="36" spans="1:6">
      <c r="A36" s="197">
        <v>7</v>
      </c>
      <c r="B36" s="197" t="s">
        <v>67</v>
      </c>
      <c r="C36" s="197"/>
      <c r="D36" s="197"/>
      <c r="E36" s="197"/>
      <c r="F36" s="197"/>
    </row>
    <row r="37" spans="1:6">
      <c r="A37" s="197">
        <v>8</v>
      </c>
      <c r="B37" s="197" t="s">
        <v>68</v>
      </c>
      <c r="C37" s="197"/>
      <c r="D37" s="197"/>
      <c r="E37" s="197"/>
      <c r="F37" s="197"/>
    </row>
    <row r="38" spans="1:6">
      <c r="A38" s="197">
        <v>9</v>
      </c>
      <c r="B38" s="197" t="s">
        <v>69</v>
      </c>
      <c r="C38" s="197"/>
      <c r="D38" s="197"/>
      <c r="E38" s="197"/>
      <c r="F38" s="197"/>
    </row>
    <row r="39" spans="1:6">
      <c r="A39" s="204">
        <v>10</v>
      </c>
      <c r="B39" s="205" t="s">
        <v>70</v>
      </c>
      <c r="C39" s="197"/>
      <c r="D39" s="197"/>
      <c r="E39" s="197"/>
      <c r="F39" s="197"/>
    </row>
    <row r="40" spans="1:6">
      <c r="A40" s="204">
        <v>11</v>
      </c>
      <c r="B40" s="205" t="s">
        <v>71</v>
      </c>
      <c r="C40" s="197"/>
      <c r="D40" s="197"/>
      <c r="E40" s="197"/>
      <c r="F40" s="197"/>
    </row>
    <row r="41" spans="1:6">
      <c r="A41" s="204">
        <v>12</v>
      </c>
      <c r="B41" s="205" t="s">
        <v>72</v>
      </c>
      <c r="C41" s="197"/>
      <c r="D41" s="197"/>
      <c r="E41" s="197"/>
      <c r="F41" s="197"/>
    </row>
    <row r="42" spans="1:6">
      <c r="A42" s="204">
        <v>13</v>
      </c>
      <c r="B42" s="197"/>
      <c r="C42" s="197"/>
      <c r="D42" s="197"/>
      <c r="E42" s="197"/>
      <c r="F42" s="197"/>
    </row>
    <row r="43" spans="1:6">
      <c r="A43" s="197"/>
      <c r="B43" s="197"/>
      <c r="C43" s="197"/>
      <c r="D43" s="197"/>
      <c r="E43" s="197"/>
      <c r="F43" s="197"/>
    </row>
    <row r="44" spans="1:6">
      <c r="A44" s="206"/>
      <c r="B44" s="206"/>
    </row>
    <row r="45" spans="1:6">
      <c r="A45" s="196" t="s">
        <v>73</v>
      </c>
      <c r="B45" s="207"/>
    </row>
    <row r="46" spans="1:6">
      <c r="A46" s="206"/>
      <c r="B46" s="208" t="s">
        <v>74</v>
      </c>
    </row>
    <row r="47" spans="1:6">
      <c r="A47" s="206"/>
      <c r="B47" s="208" t="s">
        <v>75</v>
      </c>
    </row>
    <row r="48" spans="1:6">
      <c r="A48" s="206"/>
      <c r="B48" s="209" t="s">
        <v>76</v>
      </c>
    </row>
    <row r="49" spans="1:6">
      <c r="A49" s="206"/>
      <c r="B49" s="209" t="s">
        <v>77</v>
      </c>
    </row>
    <row r="50" spans="1:6">
      <c r="A50" s="206"/>
      <c r="B50" s="209" t="s">
        <v>78</v>
      </c>
    </row>
    <row r="51" spans="1:6">
      <c r="A51" s="206"/>
      <c r="B51" s="209" t="s">
        <v>79</v>
      </c>
    </row>
    <row r="52" spans="1:6">
      <c r="A52" s="206"/>
      <c r="B52" s="210" t="s">
        <v>80</v>
      </c>
    </row>
    <row r="53" spans="1:6">
      <c r="A53" s="206"/>
      <c r="B53" s="210" t="s">
        <v>81</v>
      </c>
    </row>
    <row r="54" spans="1:6">
      <c r="A54" s="206"/>
      <c r="B54" s="210" t="s">
        <v>82</v>
      </c>
    </row>
    <row r="55" spans="1:6">
      <c r="A55" s="206"/>
      <c r="B55" s="209" t="s">
        <v>83</v>
      </c>
    </row>
    <row r="56" spans="1:6">
      <c r="A56" s="206"/>
      <c r="B56" s="209" t="s">
        <v>84</v>
      </c>
    </row>
    <row r="57" spans="1:6">
      <c r="A57" s="207"/>
      <c r="B57" s="207"/>
    </row>
    <row r="58" spans="1:6">
      <c r="A58" s="197"/>
      <c r="B58" s="197"/>
      <c r="C58" s="197"/>
      <c r="D58" s="197"/>
      <c r="E58" s="197"/>
      <c r="F58" s="197"/>
    </row>
    <row r="59" spans="1:6">
      <c r="A59" s="197" t="s">
        <v>85</v>
      </c>
      <c r="B59" s="211">
        <v>43005</v>
      </c>
      <c r="C59" s="197"/>
      <c r="D59" s="197"/>
      <c r="E59" s="197"/>
      <c r="F59" s="197"/>
    </row>
    <row r="60" spans="1:6">
      <c r="A60" s="197" t="s">
        <v>86</v>
      </c>
      <c r="B60" s="197"/>
      <c r="C60" s="197"/>
      <c r="D60" s="197"/>
      <c r="E60" s="197"/>
      <c r="F60" s="197"/>
    </row>
    <row r="61" spans="1:6">
      <c r="A61" s="197"/>
      <c r="B61" s="197"/>
      <c r="C61" s="197"/>
      <c r="D61" s="197"/>
      <c r="E61" s="197"/>
      <c r="F61" s="19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00"/>
  <sheetViews>
    <sheetView workbookViewId="0"/>
  </sheetViews>
  <sheetFormatPr defaultColWidth="12.5703125" defaultRowHeight="15" customHeight="1"/>
  <cols>
    <col min="1" max="1" width="12" customWidth="1"/>
    <col min="2" max="2" width="11" customWidth="1"/>
    <col min="3" max="3" width="15.85546875" customWidth="1"/>
    <col min="4" max="4" width="4.140625" customWidth="1"/>
    <col min="5" max="5" width="21.42578125" customWidth="1"/>
    <col min="6" max="6" width="4.85546875" customWidth="1"/>
    <col min="7" max="7" width="21.140625" customWidth="1"/>
    <col min="8" max="8" width="32.5703125" customWidth="1"/>
    <col min="9" max="26" width="11" customWidth="1"/>
  </cols>
  <sheetData>
    <row r="1" spans="1:9" ht="15" customHeight="1">
      <c r="A1" s="6" t="s">
        <v>87</v>
      </c>
      <c r="B1" s="6" t="s">
        <v>88</v>
      </c>
      <c r="C1" s="6" t="s">
        <v>89</v>
      </c>
      <c r="D1" s="250" t="s">
        <v>90</v>
      </c>
      <c r="E1" s="251"/>
      <c r="F1" s="250" t="s">
        <v>91</v>
      </c>
      <c r="G1" s="251"/>
    </row>
    <row r="2" spans="1:9">
      <c r="A2" s="7" t="s">
        <v>93</v>
      </c>
      <c r="B2" s="9" t="s">
        <v>94</v>
      </c>
      <c r="C2" s="9" t="s">
        <v>94</v>
      </c>
      <c r="D2" s="11" t="s">
        <v>97</v>
      </c>
      <c r="E2" s="11" t="s">
        <v>15</v>
      </c>
      <c r="F2" s="12" t="s">
        <v>108</v>
      </c>
      <c r="G2" s="12" t="s">
        <v>114</v>
      </c>
      <c r="I2" s="1"/>
    </row>
    <row r="3" spans="1:9">
      <c r="A3" s="7" t="s">
        <v>115</v>
      </c>
      <c r="B3" s="9" t="s">
        <v>116</v>
      </c>
      <c r="C3" s="9" t="s">
        <v>117</v>
      </c>
      <c r="D3" s="11" t="s">
        <v>118</v>
      </c>
      <c r="E3" s="11" t="s">
        <v>20</v>
      </c>
      <c r="F3" s="13" t="s">
        <v>98</v>
      </c>
      <c r="G3" s="13" t="s">
        <v>119</v>
      </c>
      <c r="I3" s="1"/>
    </row>
    <row r="4" spans="1:9">
      <c r="A4" s="7" t="s">
        <v>120</v>
      </c>
      <c r="B4" s="9" t="s">
        <v>117</v>
      </c>
      <c r="C4" s="9" t="s">
        <v>121</v>
      </c>
      <c r="D4" s="13" t="s">
        <v>122</v>
      </c>
      <c r="E4" s="11" t="s">
        <v>123</v>
      </c>
      <c r="F4" s="13" t="s">
        <v>102</v>
      </c>
      <c r="G4" s="12" t="s">
        <v>35</v>
      </c>
      <c r="I4" s="1"/>
    </row>
    <row r="5" spans="1:9">
      <c r="A5" s="7" t="s">
        <v>124</v>
      </c>
      <c r="B5" s="9"/>
      <c r="C5" s="9"/>
      <c r="D5" s="13" t="s">
        <v>98</v>
      </c>
      <c r="E5" s="13" t="s">
        <v>119</v>
      </c>
      <c r="F5" s="13" t="s">
        <v>125</v>
      </c>
      <c r="G5" s="14" t="s">
        <v>41</v>
      </c>
      <c r="I5" s="1"/>
    </row>
    <row r="6" spans="1:9">
      <c r="A6" s="7" t="s">
        <v>126</v>
      </c>
      <c r="B6" s="9"/>
      <c r="C6" s="9"/>
      <c r="D6" s="13" t="s">
        <v>102</v>
      </c>
      <c r="E6" s="12" t="s">
        <v>35</v>
      </c>
      <c r="F6" s="13" t="s">
        <v>127</v>
      </c>
      <c r="G6" s="14" t="s">
        <v>43</v>
      </c>
      <c r="I6" s="15"/>
    </row>
    <row r="7" spans="1:9">
      <c r="A7" s="7" t="s">
        <v>128</v>
      </c>
      <c r="B7" s="9"/>
      <c r="C7" s="9"/>
      <c r="D7" s="13" t="s">
        <v>125</v>
      </c>
      <c r="E7" s="14" t="s">
        <v>41</v>
      </c>
      <c r="F7" s="13" t="s">
        <v>129</v>
      </c>
      <c r="G7" s="14" t="s">
        <v>46</v>
      </c>
      <c r="I7" s="2"/>
    </row>
    <row r="8" spans="1:9">
      <c r="A8" s="7" t="s">
        <v>130</v>
      </c>
      <c r="B8" s="9"/>
      <c r="C8" s="9"/>
      <c r="D8" s="13" t="s">
        <v>127</v>
      </c>
      <c r="E8" s="14" t="s">
        <v>43</v>
      </c>
      <c r="F8" s="13" t="s">
        <v>131</v>
      </c>
      <c r="G8" s="16" t="s">
        <v>48</v>
      </c>
      <c r="I8" s="2"/>
    </row>
    <row r="9" spans="1:9">
      <c r="A9" s="9"/>
      <c r="B9" s="9"/>
      <c r="C9" s="9"/>
      <c r="D9" s="13" t="s">
        <v>129</v>
      </c>
      <c r="E9" s="14" t="s">
        <v>46</v>
      </c>
      <c r="F9" s="17"/>
      <c r="G9" s="17"/>
    </row>
    <row r="10" spans="1:9">
      <c r="A10" s="11"/>
      <c r="B10" s="17"/>
      <c r="C10" s="17"/>
      <c r="D10" s="13" t="s">
        <v>131</v>
      </c>
      <c r="E10" s="16" t="s">
        <v>48</v>
      </c>
      <c r="F10" s="17"/>
      <c r="G10" s="17"/>
    </row>
    <row r="11" spans="1:9">
      <c r="A11" s="5"/>
      <c r="D11" s="5"/>
      <c r="E11" s="5"/>
    </row>
    <row r="12" spans="1:9" ht="15" customHeight="1">
      <c r="A12" s="5" t="s">
        <v>132</v>
      </c>
      <c r="D12" s="5"/>
      <c r="E12" s="5"/>
    </row>
    <row r="13" spans="1:9" ht="15" customHeight="1">
      <c r="A13" s="18" t="s">
        <v>133</v>
      </c>
      <c r="D13" s="5"/>
      <c r="E13" s="5"/>
    </row>
    <row r="14" spans="1:9">
      <c r="A14" s="5"/>
      <c r="D14" s="5"/>
      <c r="E14" s="5"/>
    </row>
    <row r="15" spans="1:9">
      <c r="A15" s="5"/>
      <c r="D15" s="5"/>
      <c r="E15" s="5"/>
    </row>
    <row r="16" spans="1:9">
      <c r="A16" s="5"/>
      <c r="D16" s="5"/>
      <c r="E16" s="5"/>
    </row>
    <row r="17" spans="1:5">
      <c r="A17" s="5"/>
      <c r="D17" s="5"/>
      <c r="E17" s="5"/>
    </row>
    <row r="18" spans="1:5">
      <c r="A18" s="5"/>
      <c r="D18" s="5"/>
      <c r="E18" s="5"/>
    </row>
    <row r="19" spans="1:5">
      <c r="A19" s="5"/>
      <c r="D19" s="5"/>
      <c r="E19" s="5"/>
    </row>
    <row r="20" spans="1:5">
      <c r="A20" s="5"/>
      <c r="D20" s="5"/>
      <c r="E20" s="5"/>
    </row>
    <row r="21" spans="1:5">
      <c r="A21" s="5"/>
      <c r="D21" s="5"/>
      <c r="E21" s="5"/>
    </row>
    <row r="22" spans="1:5">
      <c r="A22" s="5"/>
      <c r="D22" s="5"/>
      <c r="E22" s="5"/>
    </row>
    <row r="23" spans="1:5">
      <c r="A23" s="5"/>
      <c r="D23" s="5"/>
      <c r="E23" s="5"/>
    </row>
    <row r="24" spans="1:5">
      <c r="A24" s="5"/>
      <c r="D24" s="5"/>
      <c r="E24" s="5"/>
    </row>
    <row r="25" spans="1:5">
      <c r="A25" s="5"/>
      <c r="D25" s="5"/>
      <c r="E25" s="5"/>
    </row>
    <row r="26" spans="1:5">
      <c r="A26" s="5"/>
      <c r="D26" s="5"/>
      <c r="E26" s="5"/>
    </row>
    <row r="27" spans="1:5">
      <c r="A27" s="5"/>
      <c r="D27" s="5"/>
      <c r="E27" s="5"/>
    </row>
    <row r="28" spans="1:5">
      <c r="A28" s="5"/>
      <c r="D28" s="5"/>
      <c r="E28" s="5"/>
    </row>
    <row r="29" spans="1:5">
      <c r="A29" s="5"/>
      <c r="D29" s="5"/>
      <c r="E29" s="5"/>
    </row>
    <row r="30" spans="1:5">
      <c r="A30" s="5"/>
      <c r="D30" s="5"/>
      <c r="E30" s="5"/>
    </row>
    <row r="31" spans="1:5">
      <c r="A31" s="5"/>
      <c r="D31" s="5"/>
      <c r="E31" s="5"/>
    </row>
    <row r="32" spans="1:5">
      <c r="A32" s="5"/>
      <c r="D32" s="5"/>
      <c r="E32" s="5"/>
    </row>
    <row r="33" spans="1:5">
      <c r="A33" s="5"/>
      <c r="D33" s="5"/>
      <c r="E33" s="5"/>
    </row>
    <row r="34" spans="1:5">
      <c r="A34" s="5"/>
      <c r="D34" s="5"/>
      <c r="E34" s="5"/>
    </row>
    <row r="35" spans="1:5">
      <c r="A35" s="5"/>
      <c r="D35" s="5"/>
      <c r="E35" s="5"/>
    </row>
    <row r="36" spans="1:5">
      <c r="A36" s="5"/>
      <c r="D36" s="5"/>
      <c r="E36" s="5"/>
    </row>
    <row r="37" spans="1:5">
      <c r="A37" s="5"/>
      <c r="D37" s="5"/>
      <c r="E37" s="5"/>
    </row>
    <row r="38" spans="1:5">
      <c r="A38" s="5"/>
      <c r="D38" s="5"/>
      <c r="E38" s="5"/>
    </row>
    <row r="39" spans="1:5">
      <c r="A39" s="5"/>
      <c r="D39" s="5"/>
      <c r="E39" s="5"/>
    </row>
    <row r="40" spans="1:5">
      <c r="A40" s="5"/>
      <c r="D40" s="5"/>
      <c r="E40" s="5"/>
    </row>
    <row r="41" spans="1:5">
      <c r="A41" s="5"/>
      <c r="D41" s="5"/>
      <c r="E41" s="5"/>
    </row>
    <row r="42" spans="1:5">
      <c r="A42" s="5"/>
      <c r="D42" s="5"/>
      <c r="E42" s="5"/>
    </row>
    <row r="43" spans="1:5">
      <c r="A43" s="5"/>
      <c r="D43" s="5"/>
      <c r="E43" s="5"/>
    </row>
    <row r="44" spans="1:5">
      <c r="A44" s="5"/>
      <c r="D44" s="5"/>
      <c r="E44" s="5"/>
    </row>
    <row r="45" spans="1:5">
      <c r="A45" s="5"/>
      <c r="D45" s="5"/>
      <c r="E45" s="5"/>
    </row>
    <row r="46" spans="1:5">
      <c r="A46" s="5"/>
      <c r="D46" s="5"/>
      <c r="E46" s="5"/>
    </row>
    <row r="47" spans="1:5">
      <c r="A47" s="5"/>
      <c r="D47" s="5"/>
      <c r="E47" s="5"/>
    </row>
    <row r="48" spans="1:5">
      <c r="A48" s="5"/>
      <c r="D48" s="5"/>
      <c r="E48" s="5"/>
    </row>
    <row r="49" spans="1:5">
      <c r="A49" s="5"/>
      <c r="D49" s="5"/>
      <c r="E49" s="5"/>
    </row>
    <row r="50" spans="1:5">
      <c r="A50" s="5"/>
      <c r="D50" s="5"/>
      <c r="E50" s="5"/>
    </row>
    <row r="51" spans="1:5">
      <c r="A51" s="5"/>
      <c r="D51" s="5"/>
      <c r="E51" s="5"/>
    </row>
    <row r="52" spans="1:5">
      <c r="A52" s="5"/>
      <c r="D52" s="5"/>
      <c r="E52" s="5"/>
    </row>
    <row r="53" spans="1:5">
      <c r="A53" s="5"/>
      <c r="D53" s="5"/>
      <c r="E53" s="5"/>
    </row>
    <row r="54" spans="1:5">
      <c r="A54" s="5"/>
      <c r="D54" s="5"/>
      <c r="E54" s="5"/>
    </row>
    <row r="55" spans="1:5">
      <c r="A55" s="5"/>
      <c r="D55" s="5"/>
      <c r="E55" s="5"/>
    </row>
    <row r="56" spans="1:5">
      <c r="A56" s="5"/>
      <c r="D56" s="5"/>
      <c r="E56" s="5"/>
    </row>
    <row r="57" spans="1:5">
      <c r="A57" s="5"/>
      <c r="D57" s="5"/>
      <c r="E57" s="5"/>
    </row>
    <row r="58" spans="1:5">
      <c r="A58" s="5"/>
      <c r="D58" s="5"/>
      <c r="E58" s="5"/>
    </row>
    <row r="59" spans="1:5">
      <c r="A59" s="5"/>
      <c r="D59" s="5"/>
      <c r="E59" s="5"/>
    </row>
    <row r="60" spans="1:5">
      <c r="A60" s="5"/>
      <c r="D60" s="5"/>
      <c r="E60" s="5"/>
    </row>
    <row r="61" spans="1:5">
      <c r="A61" s="5"/>
      <c r="D61" s="5"/>
      <c r="E61" s="5"/>
    </row>
    <row r="62" spans="1:5">
      <c r="A62" s="5"/>
      <c r="D62" s="5"/>
      <c r="E62" s="5"/>
    </row>
    <row r="63" spans="1:5">
      <c r="A63" s="5"/>
      <c r="D63" s="5"/>
      <c r="E63" s="5"/>
    </row>
    <row r="64" spans="1:5">
      <c r="A64" s="5"/>
      <c r="D64" s="5"/>
      <c r="E64" s="5"/>
    </row>
    <row r="65" spans="1:5">
      <c r="A65" s="5"/>
      <c r="D65" s="5"/>
      <c r="E65" s="5"/>
    </row>
    <row r="66" spans="1:5">
      <c r="A66" s="5"/>
      <c r="D66" s="5"/>
      <c r="E66" s="5"/>
    </row>
    <row r="67" spans="1:5">
      <c r="A67" s="5"/>
      <c r="D67" s="5"/>
      <c r="E67" s="5"/>
    </row>
    <row r="68" spans="1:5">
      <c r="A68" s="5"/>
      <c r="D68" s="5"/>
      <c r="E68" s="5"/>
    </row>
    <row r="69" spans="1:5">
      <c r="A69" s="5"/>
      <c r="D69" s="5"/>
      <c r="E69" s="5"/>
    </row>
    <row r="70" spans="1:5">
      <c r="A70" s="5"/>
      <c r="D70" s="5"/>
      <c r="E70" s="5"/>
    </row>
    <row r="71" spans="1:5">
      <c r="A71" s="5"/>
      <c r="D71" s="5"/>
      <c r="E71" s="5"/>
    </row>
    <row r="72" spans="1:5">
      <c r="A72" s="5"/>
      <c r="D72" s="5"/>
      <c r="E72" s="5"/>
    </row>
    <row r="73" spans="1:5">
      <c r="A73" s="5"/>
      <c r="D73" s="5"/>
      <c r="E73" s="5"/>
    </row>
    <row r="74" spans="1:5">
      <c r="A74" s="5"/>
      <c r="D74" s="5"/>
      <c r="E74" s="5"/>
    </row>
    <row r="75" spans="1:5">
      <c r="A75" s="5"/>
      <c r="D75" s="5"/>
      <c r="E75" s="5"/>
    </row>
    <row r="76" spans="1:5">
      <c r="A76" s="5"/>
      <c r="D76" s="5"/>
      <c r="E76" s="5"/>
    </row>
    <row r="77" spans="1:5">
      <c r="A77" s="5"/>
      <c r="D77" s="5"/>
      <c r="E77" s="5"/>
    </row>
    <row r="78" spans="1:5">
      <c r="A78" s="5"/>
      <c r="D78" s="5"/>
      <c r="E78" s="5"/>
    </row>
    <row r="79" spans="1:5">
      <c r="A79" s="5"/>
      <c r="D79" s="5"/>
      <c r="E79" s="5"/>
    </row>
    <row r="80" spans="1:5">
      <c r="A80" s="5"/>
      <c r="D80" s="5"/>
      <c r="E80" s="5"/>
    </row>
    <row r="81" spans="1:5">
      <c r="A81" s="5"/>
      <c r="D81" s="5"/>
      <c r="E81" s="5"/>
    </row>
    <row r="82" spans="1:5">
      <c r="A82" s="5"/>
      <c r="D82" s="5"/>
      <c r="E82" s="5"/>
    </row>
    <row r="83" spans="1:5">
      <c r="A83" s="5"/>
      <c r="D83" s="5"/>
      <c r="E83" s="5"/>
    </row>
    <row r="84" spans="1:5">
      <c r="A84" s="5"/>
      <c r="D84" s="5"/>
      <c r="E84" s="5"/>
    </row>
    <row r="85" spans="1:5">
      <c r="A85" s="5"/>
      <c r="D85" s="5"/>
      <c r="E85" s="5"/>
    </row>
    <row r="86" spans="1:5">
      <c r="A86" s="5"/>
      <c r="D86" s="5"/>
      <c r="E86" s="5"/>
    </row>
    <row r="87" spans="1:5">
      <c r="A87" s="5"/>
      <c r="D87" s="5"/>
      <c r="E87" s="5"/>
    </row>
    <row r="88" spans="1:5">
      <c r="A88" s="5"/>
      <c r="D88" s="5"/>
      <c r="E88" s="5"/>
    </row>
    <row r="89" spans="1:5">
      <c r="A89" s="5"/>
      <c r="D89" s="5"/>
      <c r="E89" s="5"/>
    </row>
    <row r="90" spans="1:5">
      <c r="A90" s="5"/>
      <c r="D90" s="5"/>
      <c r="E90" s="5"/>
    </row>
    <row r="91" spans="1:5">
      <c r="A91" s="5"/>
      <c r="D91" s="5"/>
      <c r="E91" s="5"/>
    </row>
    <row r="92" spans="1:5">
      <c r="A92" s="5"/>
      <c r="D92" s="5"/>
      <c r="E92" s="5"/>
    </row>
    <row r="93" spans="1:5">
      <c r="A93" s="5"/>
      <c r="D93" s="5"/>
      <c r="E93" s="5"/>
    </row>
    <row r="94" spans="1:5">
      <c r="A94" s="5"/>
      <c r="D94" s="5"/>
      <c r="E94" s="5"/>
    </row>
    <row r="95" spans="1:5">
      <c r="A95" s="5"/>
      <c r="D95" s="5"/>
      <c r="E95" s="5"/>
    </row>
    <row r="96" spans="1:5">
      <c r="A96" s="5"/>
      <c r="D96" s="5"/>
      <c r="E96" s="5"/>
    </row>
    <row r="97" spans="1:5">
      <c r="A97" s="5"/>
      <c r="D97" s="5"/>
      <c r="E97" s="5"/>
    </row>
    <row r="98" spans="1:5">
      <c r="A98" s="5"/>
      <c r="D98" s="5"/>
      <c r="E98" s="5"/>
    </row>
    <row r="99" spans="1:5">
      <c r="A99" s="5"/>
      <c r="D99" s="5"/>
      <c r="E99" s="5"/>
    </row>
    <row r="100" spans="1:5">
      <c r="A100" s="5"/>
      <c r="D100" s="5"/>
      <c r="E100" s="5"/>
    </row>
    <row r="101" spans="1:5">
      <c r="A101" s="5"/>
      <c r="D101" s="5"/>
      <c r="E101" s="5"/>
    </row>
    <row r="102" spans="1:5">
      <c r="A102" s="5"/>
      <c r="D102" s="5"/>
      <c r="E102" s="5"/>
    </row>
    <row r="103" spans="1:5">
      <c r="A103" s="5"/>
      <c r="D103" s="5"/>
      <c r="E103" s="5"/>
    </row>
    <row r="104" spans="1:5">
      <c r="A104" s="5"/>
      <c r="D104" s="5"/>
      <c r="E104" s="5"/>
    </row>
    <row r="105" spans="1:5">
      <c r="A105" s="5"/>
      <c r="D105" s="5"/>
      <c r="E105" s="5"/>
    </row>
    <row r="106" spans="1:5">
      <c r="A106" s="5"/>
      <c r="D106" s="5"/>
      <c r="E106" s="5"/>
    </row>
    <row r="107" spans="1:5">
      <c r="A107" s="5"/>
      <c r="D107" s="5"/>
      <c r="E107" s="5"/>
    </row>
    <row r="108" spans="1:5">
      <c r="A108" s="5"/>
      <c r="D108" s="5"/>
      <c r="E108" s="5"/>
    </row>
    <row r="109" spans="1:5">
      <c r="A109" s="5"/>
      <c r="D109" s="5"/>
      <c r="E109" s="5"/>
    </row>
    <row r="110" spans="1:5">
      <c r="A110" s="5"/>
      <c r="D110" s="5"/>
      <c r="E110" s="5"/>
    </row>
    <row r="111" spans="1:5">
      <c r="A111" s="5"/>
      <c r="D111" s="5"/>
      <c r="E111" s="5"/>
    </row>
    <row r="112" spans="1:5">
      <c r="A112" s="5"/>
      <c r="D112" s="5"/>
      <c r="E112" s="5"/>
    </row>
    <row r="113" spans="1:5">
      <c r="A113" s="5"/>
      <c r="D113" s="5"/>
      <c r="E113" s="5"/>
    </row>
    <row r="114" spans="1:5">
      <c r="A114" s="5"/>
      <c r="D114" s="5"/>
      <c r="E114" s="5"/>
    </row>
    <row r="115" spans="1:5">
      <c r="A115" s="5"/>
      <c r="D115" s="5"/>
      <c r="E115" s="5"/>
    </row>
    <row r="116" spans="1:5">
      <c r="A116" s="5"/>
      <c r="D116" s="5"/>
      <c r="E116" s="5"/>
    </row>
    <row r="117" spans="1:5">
      <c r="A117" s="5"/>
      <c r="D117" s="5"/>
      <c r="E117" s="5"/>
    </row>
    <row r="118" spans="1:5">
      <c r="A118" s="5"/>
      <c r="D118" s="5"/>
      <c r="E118" s="5"/>
    </row>
    <row r="119" spans="1:5">
      <c r="A119" s="5"/>
      <c r="D119" s="5"/>
      <c r="E119" s="5"/>
    </row>
    <row r="120" spans="1:5">
      <c r="A120" s="5"/>
      <c r="D120" s="5"/>
      <c r="E120" s="5"/>
    </row>
    <row r="121" spans="1:5">
      <c r="A121" s="5"/>
      <c r="D121" s="5"/>
      <c r="E121" s="5"/>
    </row>
    <row r="122" spans="1:5">
      <c r="A122" s="5"/>
      <c r="D122" s="5"/>
      <c r="E122" s="5"/>
    </row>
    <row r="123" spans="1:5">
      <c r="A123" s="5"/>
      <c r="D123" s="5"/>
      <c r="E123" s="5"/>
    </row>
    <row r="124" spans="1:5">
      <c r="A124" s="5"/>
      <c r="D124" s="5"/>
      <c r="E124" s="5"/>
    </row>
    <row r="125" spans="1:5">
      <c r="A125" s="5"/>
      <c r="D125" s="5"/>
      <c r="E125" s="5"/>
    </row>
    <row r="126" spans="1:5">
      <c r="A126" s="5"/>
      <c r="D126" s="5"/>
      <c r="E126" s="5"/>
    </row>
    <row r="127" spans="1:5">
      <c r="A127" s="5"/>
      <c r="D127" s="5"/>
      <c r="E127" s="5"/>
    </row>
    <row r="128" spans="1:5">
      <c r="A128" s="5"/>
      <c r="D128" s="5"/>
      <c r="E128" s="5"/>
    </row>
    <row r="129" spans="1:5">
      <c r="A129" s="5"/>
      <c r="D129" s="5"/>
      <c r="E129" s="5"/>
    </row>
    <row r="130" spans="1:5">
      <c r="A130" s="5"/>
      <c r="D130" s="5"/>
      <c r="E130" s="5"/>
    </row>
    <row r="131" spans="1:5">
      <c r="A131" s="5"/>
      <c r="D131" s="5"/>
      <c r="E131" s="5"/>
    </row>
    <row r="132" spans="1:5">
      <c r="A132" s="5"/>
      <c r="D132" s="5"/>
      <c r="E132" s="5"/>
    </row>
    <row r="133" spans="1:5">
      <c r="A133" s="5"/>
      <c r="D133" s="5"/>
      <c r="E133" s="5"/>
    </row>
    <row r="134" spans="1:5">
      <c r="A134" s="5"/>
      <c r="D134" s="5"/>
      <c r="E134" s="5"/>
    </row>
    <row r="135" spans="1:5">
      <c r="A135" s="5"/>
      <c r="D135" s="5"/>
      <c r="E135" s="5"/>
    </row>
    <row r="136" spans="1:5">
      <c r="A136" s="5"/>
      <c r="D136" s="5"/>
      <c r="E136" s="5"/>
    </row>
    <row r="137" spans="1:5">
      <c r="A137" s="5"/>
      <c r="D137" s="5"/>
      <c r="E137" s="5"/>
    </row>
    <row r="138" spans="1:5">
      <c r="A138" s="5"/>
      <c r="D138" s="5"/>
      <c r="E138" s="5"/>
    </row>
    <row r="139" spans="1:5">
      <c r="A139" s="5"/>
      <c r="D139" s="5"/>
      <c r="E139" s="5"/>
    </row>
    <row r="140" spans="1:5">
      <c r="A140" s="5"/>
      <c r="D140" s="5"/>
      <c r="E140" s="5"/>
    </row>
    <row r="141" spans="1:5">
      <c r="A141" s="5"/>
      <c r="D141" s="5"/>
      <c r="E141" s="5"/>
    </row>
    <row r="142" spans="1:5">
      <c r="A142" s="5"/>
      <c r="D142" s="5"/>
      <c r="E142" s="5"/>
    </row>
    <row r="143" spans="1:5">
      <c r="A143" s="5"/>
      <c r="D143" s="5"/>
      <c r="E143" s="5"/>
    </row>
    <row r="144" spans="1:5">
      <c r="A144" s="5"/>
      <c r="D144" s="5"/>
      <c r="E144" s="5"/>
    </row>
    <row r="145" spans="1:5">
      <c r="A145" s="5"/>
      <c r="D145" s="5"/>
      <c r="E145" s="5"/>
    </row>
    <row r="146" spans="1:5">
      <c r="A146" s="5"/>
      <c r="D146" s="5"/>
      <c r="E146" s="5"/>
    </row>
    <row r="147" spans="1:5">
      <c r="A147" s="5"/>
      <c r="D147" s="5"/>
      <c r="E147" s="5"/>
    </row>
    <row r="148" spans="1:5">
      <c r="A148" s="5"/>
      <c r="D148" s="5"/>
      <c r="E148" s="5"/>
    </row>
    <row r="149" spans="1:5">
      <c r="A149" s="5"/>
      <c r="D149" s="5"/>
      <c r="E149" s="5"/>
    </row>
    <row r="150" spans="1:5">
      <c r="A150" s="5"/>
      <c r="D150" s="5"/>
      <c r="E150" s="5"/>
    </row>
    <row r="151" spans="1:5">
      <c r="A151" s="5"/>
      <c r="D151" s="5"/>
      <c r="E151" s="5"/>
    </row>
    <row r="152" spans="1:5">
      <c r="A152" s="5"/>
      <c r="D152" s="5"/>
      <c r="E152" s="5"/>
    </row>
    <row r="153" spans="1:5">
      <c r="A153" s="5"/>
      <c r="D153" s="5"/>
      <c r="E153" s="5"/>
    </row>
    <row r="154" spans="1:5">
      <c r="A154" s="5"/>
      <c r="D154" s="5"/>
      <c r="E154" s="5"/>
    </row>
    <row r="155" spans="1:5">
      <c r="A155" s="5"/>
      <c r="D155" s="5"/>
      <c r="E155" s="5"/>
    </row>
    <row r="156" spans="1:5">
      <c r="A156" s="5"/>
      <c r="D156" s="5"/>
      <c r="E156" s="5"/>
    </row>
    <row r="157" spans="1:5">
      <c r="A157" s="5"/>
      <c r="D157" s="5"/>
      <c r="E157" s="5"/>
    </row>
    <row r="158" spans="1:5">
      <c r="A158" s="5"/>
      <c r="D158" s="5"/>
      <c r="E158" s="5"/>
    </row>
    <row r="159" spans="1:5">
      <c r="A159" s="5"/>
      <c r="D159" s="5"/>
      <c r="E159" s="5"/>
    </row>
    <row r="160" spans="1:5">
      <c r="A160" s="5"/>
      <c r="D160" s="5"/>
      <c r="E160" s="5"/>
    </row>
    <row r="161" spans="1:5">
      <c r="A161" s="5"/>
      <c r="D161" s="5"/>
      <c r="E161" s="5"/>
    </row>
    <row r="162" spans="1:5">
      <c r="A162" s="5"/>
      <c r="D162" s="5"/>
      <c r="E162" s="5"/>
    </row>
    <row r="163" spans="1:5">
      <c r="A163" s="5"/>
      <c r="D163" s="5"/>
      <c r="E163" s="5"/>
    </row>
    <row r="164" spans="1:5">
      <c r="A164" s="5"/>
      <c r="D164" s="5"/>
      <c r="E164" s="5"/>
    </row>
    <row r="165" spans="1:5">
      <c r="A165" s="5"/>
      <c r="D165" s="5"/>
      <c r="E165" s="5"/>
    </row>
    <row r="166" spans="1:5">
      <c r="A166" s="5"/>
      <c r="D166" s="5"/>
      <c r="E166" s="5"/>
    </row>
    <row r="167" spans="1:5">
      <c r="A167" s="5"/>
      <c r="D167" s="5"/>
      <c r="E167" s="5"/>
    </row>
    <row r="168" spans="1:5">
      <c r="A168" s="5"/>
      <c r="D168" s="5"/>
      <c r="E168" s="5"/>
    </row>
    <row r="169" spans="1:5">
      <c r="A169" s="5"/>
      <c r="D169" s="5"/>
      <c r="E169" s="5"/>
    </row>
    <row r="170" spans="1:5">
      <c r="A170" s="5"/>
      <c r="D170" s="5"/>
      <c r="E170" s="5"/>
    </row>
    <row r="171" spans="1:5">
      <c r="A171" s="5"/>
      <c r="D171" s="5"/>
      <c r="E171" s="5"/>
    </row>
    <row r="172" spans="1:5">
      <c r="A172" s="5"/>
      <c r="D172" s="5"/>
      <c r="E172" s="5"/>
    </row>
    <row r="173" spans="1:5">
      <c r="A173" s="5"/>
      <c r="D173" s="5"/>
      <c r="E173" s="5"/>
    </row>
    <row r="174" spans="1:5">
      <c r="A174" s="5"/>
      <c r="D174" s="5"/>
      <c r="E174" s="5"/>
    </row>
    <row r="175" spans="1:5">
      <c r="A175" s="5"/>
      <c r="D175" s="5"/>
      <c r="E175" s="5"/>
    </row>
    <row r="176" spans="1:5">
      <c r="A176" s="5"/>
      <c r="D176" s="5"/>
      <c r="E176" s="5"/>
    </row>
    <row r="177" spans="1:5">
      <c r="A177" s="5"/>
      <c r="D177" s="5"/>
      <c r="E177" s="5"/>
    </row>
    <row r="178" spans="1:5">
      <c r="A178" s="5"/>
      <c r="D178" s="5"/>
      <c r="E178" s="5"/>
    </row>
    <row r="179" spans="1:5">
      <c r="A179" s="5"/>
      <c r="D179" s="5"/>
      <c r="E179" s="5"/>
    </row>
    <row r="180" spans="1:5">
      <c r="A180" s="5"/>
      <c r="D180" s="5"/>
      <c r="E180" s="5"/>
    </row>
    <row r="181" spans="1:5">
      <c r="A181" s="5"/>
      <c r="D181" s="5"/>
      <c r="E181" s="5"/>
    </row>
    <row r="182" spans="1:5">
      <c r="A182" s="5"/>
      <c r="D182" s="5"/>
      <c r="E182" s="5"/>
    </row>
    <row r="183" spans="1:5">
      <c r="A183" s="5"/>
      <c r="D183" s="5"/>
      <c r="E183" s="5"/>
    </row>
    <row r="184" spans="1:5">
      <c r="A184" s="5"/>
      <c r="D184" s="5"/>
      <c r="E184" s="5"/>
    </row>
    <row r="185" spans="1:5">
      <c r="A185" s="5"/>
      <c r="D185" s="5"/>
      <c r="E185" s="5"/>
    </row>
    <row r="186" spans="1:5">
      <c r="A186" s="5"/>
      <c r="D186" s="5"/>
      <c r="E186" s="5"/>
    </row>
    <row r="187" spans="1:5">
      <c r="A187" s="5"/>
      <c r="D187" s="5"/>
      <c r="E187" s="5"/>
    </row>
    <row r="188" spans="1:5">
      <c r="A188" s="5"/>
      <c r="D188" s="5"/>
      <c r="E188" s="5"/>
    </row>
    <row r="189" spans="1:5">
      <c r="A189" s="5"/>
      <c r="D189" s="5"/>
      <c r="E189" s="5"/>
    </row>
    <row r="190" spans="1:5">
      <c r="A190" s="5"/>
      <c r="D190" s="5"/>
      <c r="E190" s="5"/>
    </row>
    <row r="191" spans="1:5">
      <c r="A191" s="5"/>
      <c r="D191" s="5"/>
      <c r="E191" s="5"/>
    </row>
    <row r="192" spans="1:5">
      <c r="A192" s="5"/>
      <c r="D192" s="5"/>
      <c r="E192" s="5"/>
    </row>
    <row r="193" spans="1:5">
      <c r="A193" s="5"/>
      <c r="D193" s="5"/>
      <c r="E193" s="5"/>
    </row>
    <row r="194" spans="1:5">
      <c r="A194" s="5"/>
      <c r="D194" s="5"/>
      <c r="E194" s="5"/>
    </row>
    <row r="195" spans="1:5">
      <c r="A195" s="5"/>
      <c r="D195" s="5"/>
      <c r="E195" s="5"/>
    </row>
    <row r="196" spans="1:5">
      <c r="A196" s="5"/>
      <c r="D196" s="5"/>
      <c r="E196" s="5"/>
    </row>
    <row r="197" spans="1:5">
      <c r="A197" s="5"/>
      <c r="D197" s="5"/>
      <c r="E197" s="5"/>
    </row>
    <row r="198" spans="1:5">
      <c r="A198" s="5"/>
      <c r="D198" s="5"/>
      <c r="E198" s="5"/>
    </row>
    <row r="199" spans="1:5">
      <c r="A199" s="5"/>
      <c r="D199" s="5"/>
      <c r="E199" s="5"/>
    </row>
    <row r="200" spans="1:5">
      <c r="A200" s="5"/>
      <c r="D200" s="5"/>
      <c r="E200" s="5"/>
    </row>
    <row r="201" spans="1:5">
      <c r="A201" s="5"/>
      <c r="D201" s="5"/>
      <c r="E201" s="5"/>
    </row>
    <row r="202" spans="1:5">
      <c r="A202" s="5"/>
      <c r="D202" s="5"/>
      <c r="E202" s="5"/>
    </row>
    <row r="203" spans="1:5">
      <c r="A203" s="5"/>
      <c r="D203" s="5"/>
      <c r="E203" s="5"/>
    </row>
    <row r="204" spans="1:5">
      <c r="A204" s="5"/>
      <c r="D204" s="5"/>
      <c r="E204" s="5"/>
    </row>
    <row r="205" spans="1:5">
      <c r="A205" s="5"/>
      <c r="D205" s="5"/>
      <c r="E205" s="5"/>
    </row>
    <row r="206" spans="1:5">
      <c r="A206" s="5"/>
      <c r="D206" s="5"/>
      <c r="E206" s="5"/>
    </row>
    <row r="207" spans="1:5">
      <c r="A207" s="5"/>
      <c r="D207" s="5"/>
      <c r="E207" s="5"/>
    </row>
    <row r="208" spans="1:5">
      <c r="A208" s="5"/>
      <c r="D208" s="5"/>
      <c r="E208" s="5"/>
    </row>
    <row r="209" spans="1:5">
      <c r="A209" s="5"/>
      <c r="D209" s="5"/>
      <c r="E209" s="5"/>
    </row>
    <row r="210" spans="1:5">
      <c r="A210" s="5"/>
      <c r="D210" s="5"/>
      <c r="E210" s="5"/>
    </row>
    <row r="211" spans="1:5">
      <c r="A211" s="5"/>
      <c r="D211" s="5"/>
      <c r="E211" s="5"/>
    </row>
    <row r="212" spans="1:5">
      <c r="A212" s="5"/>
      <c r="D212" s="5"/>
      <c r="E212" s="5"/>
    </row>
    <row r="213" spans="1:5">
      <c r="A213" s="5"/>
      <c r="D213" s="5"/>
      <c r="E213" s="5"/>
    </row>
    <row r="214" spans="1:5">
      <c r="A214" s="5"/>
      <c r="D214" s="5"/>
      <c r="E214" s="5"/>
    </row>
    <row r="215" spans="1:5">
      <c r="A215" s="5"/>
      <c r="D215" s="5"/>
      <c r="E215" s="5"/>
    </row>
    <row r="216" spans="1:5">
      <c r="A216" s="5"/>
      <c r="D216" s="5"/>
      <c r="E216" s="5"/>
    </row>
    <row r="217" spans="1:5">
      <c r="A217" s="5"/>
      <c r="D217" s="5"/>
      <c r="E217" s="5"/>
    </row>
    <row r="218" spans="1:5">
      <c r="A218" s="5"/>
      <c r="D218" s="5"/>
      <c r="E218" s="5"/>
    </row>
    <row r="219" spans="1:5">
      <c r="A219" s="5"/>
      <c r="D219" s="5"/>
      <c r="E219" s="5"/>
    </row>
    <row r="220" spans="1:5">
      <c r="A220" s="5"/>
      <c r="D220" s="5"/>
      <c r="E220" s="5"/>
    </row>
    <row r="221" spans="1:5">
      <c r="A221" s="5"/>
      <c r="D221" s="5"/>
      <c r="E221" s="5"/>
    </row>
    <row r="222" spans="1:5">
      <c r="A222" s="5"/>
      <c r="D222" s="5"/>
      <c r="E222" s="5"/>
    </row>
    <row r="223" spans="1:5">
      <c r="A223" s="5"/>
      <c r="D223" s="5"/>
      <c r="E223" s="5"/>
    </row>
    <row r="224" spans="1:5">
      <c r="A224" s="5"/>
      <c r="D224" s="5"/>
      <c r="E224" s="5"/>
    </row>
    <row r="225" spans="1:5">
      <c r="A225" s="5"/>
      <c r="D225" s="5"/>
      <c r="E225" s="5"/>
    </row>
    <row r="226" spans="1:5">
      <c r="A226" s="5"/>
      <c r="D226" s="5"/>
      <c r="E226" s="5"/>
    </row>
    <row r="227" spans="1:5">
      <c r="A227" s="5"/>
      <c r="D227" s="5"/>
      <c r="E227" s="5"/>
    </row>
    <row r="228" spans="1:5">
      <c r="A228" s="5"/>
      <c r="D228" s="5"/>
      <c r="E228" s="5"/>
    </row>
    <row r="229" spans="1:5">
      <c r="A229" s="5"/>
      <c r="D229" s="5"/>
      <c r="E229" s="5"/>
    </row>
    <row r="230" spans="1:5">
      <c r="A230" s="5"/>
      <c r="D230" s="5"/>
      <c r="E230" s="5"/>
    </row>
    <row r="231" spans="1:5">
      <c r="A231" s="5"/>
      <c r="D231" s="5"/>
      <c r="E231" s="5"/>
    </row>
    <row r="232" spans="1:5">
      <c r="A232" s="5"/>
      <c r="D232" s="5"/>
      <c r="E232" s="5"/>
    </row>
    <row r="233" spans="1:5">
      <c r="A233" s="5"/>
      <c r="D233" s="5"/>
      <c r="E233" s="5"/>
    </row>
    <row r="234" spans="1:5">
      <c r="A234" s="5"/>
      <c r="D234" s="5"/>
      <c r="E234" s="5"/>
    </row>
    <row r="235" spans="1:5">
      <c r="A235" s="5"/>
      <c r="D235" s="5"/>
      <c r="E235" s="5"/>
    </row>
    <row r="236" spans="1:5">
      <c r="A236" s="5"/>
      <c r="D236" s="5"/>
      <c r="E236" s="5"/>
    </row>
    <row r="237" spans="1:5">
      <c r="A237" s="5"/>
      <c r="D237" s="5"/>
      <c r="E237" s="5"/>
    </row>
    <row r="238" spans="1:5">
      <c r="A238" s="5"/>
      <c r="D238" s="5"/>
      <c r="E238" s="5"/>
    </row>
    <row r="239" spans="1:5">
      <c r="A239" s="5"/>
      <c r="D239" s="5"/>
      <c r="E239" s="5"/>
    </row>
    <row r="240" spans="1:5">
      <c r="A240" s="5"/>
      <c r="D240" s="5"/>
      <c r="E240" s="5"/>
    </row>
    <row r="241" spans="1:5">
      <c r="A241" s="5"/>
      <c r="D241" s="5"/>
      <c r="E241" s="5"/>
    </row>
    <row r="242" spans="1:5">
      <c r="A242" s="5"/>
      <c r="D242" s="5"/>
      <c r="E242" s="5"/>
    </row>
    <row r="243" spans="1:5">
      <c r="A243" s="5"/>
      <c r="D243" s="5"/>
      <c r="E243" s="5"/>
    </row>
    <row r="244" spans="1:5">
      <c r="A244" s="5"/>
      <c r="D244" s="5"/>
      <c r="E244" s="5"/>
    </row>
    <row r="245" spans="1:5">
      <c r="A245" s="5"/>
      <c r="D245" s="5"/>
      <c r="E245" s="5"/>
    </row>
    <row r="246" spans="1:5">
      <c r="A246" s="5"/>
      <c r="D246" s="5"/>
      <c r="E246" s="5"/>
    </row>
    <row r="247" spans="1:5">
      <c r="A247" s="5"/>
      <c r="D247" s="5"/>
      <c r="E247" s="5"/>
    </row>
    <row r="248" spans="1:5">
      <c r="A248" s="5"/>
      <c r="D248" s="5"/>
      <c r="E248" s="5"/>
    </row>
    <row r="249" spans="1:5">
      <c r="A249" s="5"/>
      <c r="D249" s="5"/>
      <c r="E249" s="5"/>
    </row>
    <row r="250" spans="1:5">
      <c r="A250" s="5"/>
      <c r="D250" s="5"/>
      <c r="E250" s="5"/>
    </row>
    <row r="251" spans="1:5">
      <c r="A251" s="5"/>
      <c r="D251" s="5"/>
      <c r="E251" s="5"/>
    </row>
    <row r="252" spans="1:5">
      <c r="A252" s="5"/>
      <c r="D252" s="5"/>
      <c r="E252" s="5"/>
    </row>
    <row r="253" spans="1:5">
      <c r="A253" s="5"/>
      <c r="D253" s="5"/>
      <c r="E253" s="5"/>
    </row>
    <row r="254" spans="1:5">
      <c r="A254" s="5"/>
      <c r="D254" s="5"/>
      <c r="E254" s="5"/>
    </row>
    <row r="255" spans="1:5">
      <c r="A255" s="5"/>
      <c r="D255" s="5"/>
      <c r="E255" s="5"/>
    </row>
    <row r="256" spans="1:5">
      <c r="A256" s="5"/>
      <c r="D256" s="5"/>
      <c r="E256" s="5"/>
    </row>
    <row r="257" spans="1:5">
      <c r="A257" s="5"/>
      <c r="D257" s="5"/>
      <c r="E257" s="5"/>
    </row>
    <row r="258" spans="1:5">
      <c r="A258" s="5"/>
      <c r="D258" s="5"/>
      <c r="E258" s="5"/>
    </row>
    <row r="259" spans="1:5">
      <c r="A259" s="5"/>
      <c r="D259" s="5"/>
      <c r="E259" s="5"/>
    </row>
    <row r="260" spans="1:5">
      <c r="A260" s="5"/>
      <c r="D260" s="5"/>
      <c r="E260" s="5"/>
    </row>
    <row r="261" spans="1:5">
      <c r="A261" s="5"/>
      <c r="D261" s="5"/>
      <c r="E261" s="5"/>
    </row>
    <row r="262" spans="1:5">
      <c r="A262" s="5"/>
      <c r="D262" s="5"/>
      <c r="E262" s="5"/>
    </row>
    <row r="263" spans="1:5">
      <c r="A263" s="5"/>
      <c r="D263" s="5"/>
      <c r="E263" s="5"/>
    </row>
    <row r="264" spans="1:5">
      <c r="A264" s="5"/>
      <c r="D264" s="5"/>
      <c r="E264" s="5"/>
    </row>
    <row r="265" spans="1:5">
      <c r="A265" s="5"/>
      <c r="D265" s="5"/>
      <c r="E265" s="5"/>
    </row>
    <row r="266" spans="1:5">
      <c r="A266" s="5"/>
      <c r="D266" s="5"/>
      <c r="E266" s="5"/>
    </row>
    <row r="267" spans="1:5">
      <c r="A267" s="5"/>
      <c r="D267" s="5"/>
      <c r="E267" s="5"/>
    </row>
    <row r="268" spans="1:5">
      <c r="A268" s="5"/>
      <c r="D268" s="5"/>
      <c r="E268" s="5"/>
    </row>
    <row r="269" spans="1:5">
      <c r="A269" s="5"/>
      <c r="D269" s="5"/>
      <c r="E269" s="5"/>
    </row>
    <row r="270" spans="1:5">
      <c r="A270" s="5"/>
      <c r="D270" s="5"/>
      <c r="E270" s="5"/>
    </row>
    <row r="271" spans="1:5">
      <c r="A271" s="5"/>
      <c r="D271" s="5"/>
      <c r="E271" s="5"/>
    </row>
    <row r="272" spans="1:5">
      <c r="A272" s="5"/>
      <c r="D272" s="5"/>
      <c r="E272" s="5"/>
    </row>
    <row r="273" spans="1:5">
      <c r="A273" s="5"/>
      <c r="D273" s="5"/>
      <c r="E273" s="5"/>
    </row>
    <row r="274" spans="1:5">
      <c r="A274" s="5"/>
      <c r="D274" s="5"/>
      <c r="E274" s="5"/>
    </row>
    <row r="275" spans="1:5">
      <c r="A275" s="5"/>
      <c r="D275" s="5"/>
      <c r="E275" s="5"/>
    </row>
    <row r="276" spans="1:5">
      <c r="A276" s="5"/>
      <c r="D276" s="5"/>
      <c r="E276" s="5"/>
    </row>
    <row r="277" spans="1:5">
      <c r="A277" s="5"/>
      <c r="D277" s="5"/>
      <c r="E277" s="5"/>
    </row>
    <row r="278" spans="1:5">
      <c r="A278" s="5"/>
      <c r="D278" s="5"/>
      <c r="E278" s="5"/>
    </row>
    <row r="279" spans="1:5">
      <c r="A279" s="5"/>
      <c r="D279" s="5"/>
      <c r="E279" s="5"/>
    </row>
    <row r="280" spans="1:5">
      <c r="A280" s="5"/>
      <c r="D280" s="5"/>
      <c r="E280" s="5"/>
    </row>
    <row r="281" spans="1:5">
      <c r="A281" s="5"/>
      <c r="D281" s="5"/>
      <c r="E281" s="5"/>
    </row>
    <row r="282" spans="1:5">
      <c r="A282" s="5"/>
      <c r="D282" s="5"/>
      <c r="E282" s="5"/>
    </row>
    <row r="283" spans="1:5">
      <c r="A283" s="5"/>
      <c r="D283" s="5"/>
      <c r="E283" s="5"/>
    </row>
    <row r="284" spans="1:5">
      <c r="A284" s="5"/>
      <c r="D284" s="5"/>
      <c r="E284" s="5"/>
    </row>
    <row r="285" spans="1:5">
      <c r="A285" s="5"/>
      <c r="D285" s="5"/>
      <c r="E285" s="5"/>
    </row>
    <row r="286" spans="1:5">
      <c r="A286" s="5"/>
      <c r="D286" s="5"/>
      <c r="E286" s="5"/>
    </row>
    <row r="287" spans="1:5">
      <c r="A287" s="5"/>
      <c r="D287" s="5"/>
      <c r="E287" s="5"/>
    </row>
    <row r="288" spans="1:5">
      <c r="A288" s="5"/>
      <c r="D288" s="5"/>
      <c r="E288" s="5"/>
    </row>
    <row r="289" spans="1:5">
      <c r="A289" s="5"/>
      <c r="D289" s="5"/>
      <c r="E289" s="5"/>
    </row>
    <row r="290" spans="1:5">
      <c r="A290" s="5"/>
      <c r="D290" s="5"/>
      <c r="E290" s="5"/>
    </row>
    <row r="291" spans="1:5">
      <c r="A291" s="5"/>
      <c r="D291" s="5"/>
      <c r="E291" s="5"/>
    </row>
    <row r="292" spans="1:5">
      <c r="A292" s="5"/>
      <c r="D292" s="5"/>
      <c r="E292" s="5"/>
    </row>
    <row r="293" spans="1:5">
      <c r="A293" s="5"/>
      <c r="D293" s="5"/>
      <c r="E293" s="5"/>
    </row>
    <row r="294" spans="1:5">
      <c r="A294" s="5"/>
      <c r="D294" s="5"/>
      <c r="E294" s="5"/>
    </row>
    <row r="295" spans="1:5">
      <c r="A295" s="5"/>
      <c r="D295" s="5"/>
      <c r="E295" s="5"/>
    </row>
    <row r="296" spans="1:5">
      <c r="A296" s="5"/>
      <c r="D296" s="5"/>
      <c r="E296" s="5"/>
    </row>
    <row r="297" spans="1:5">
      <c r="A297" s="5"/>
      <c r="D297" s="5"/>
      <c r="E297" s="5"/>
    </row>
    <row r="298" spans="1:5">
      <c r="A298" s="5"/>
      <c r="D298" s="5"/>
      <c r="E298" s="5"/>
    </row>
    <row r="299" spans="1:5">
      <c r="A299" s="5"/>
      <c r="D299" s="5"/>
      <c r="E299" s="5"/>
    </row>
    <row r="300" spans="1:5">
      <c r="A300" s="5"/>
      <c r="D300" s="5"/>
      <c r="E300" s="5"/>
    </row>
    <row r="301" spans="1:5">
      <c r="A301" s="5"/>
      <c r="D301" s="5"/>
      <c r="E301" s="5"/>
    </row>
    <row r="302" spans="1:5">
      <c r="A302" s="5"/>
      <c r="D302" s="5"/>
      <c r="E302" s="5"/>
    </row>
    <row r="303" spans="1:5">
      <c r="A303" s="5"/>
      <c r="D303" s="5"/>
      <c r="E303" s="5"/>
    </row>
    <row r="304" spans="1:5">
      <c r="A304" s="5"/>
      <c r="D304" s="5"/>
      <c r="E304" s="5"/>
    </row>
    <row r="305" spans="1:5">
      <c r="A305" s="5"/>
      <c r="D305" s="5"/>
      <c r="E305" s="5"/>
    </row>
    <row r="306" spans="1:5">
      <c r="A306" s="5"/>
      <c r="D306" s="5"/>
      <c r="E306" s="5"/>
    </row>
    <row r="307" spans="1:5">
      <c r="A307" s="5"/>
      <c r="D307" s="5"/>
      <c r="E307" s="5"/>
    </row>
    <row r="308" spans="1:5">
      <c r="A308" s="5"/>
      <c r="D308" s="5"/>
      <c r="E308" s="5"/>
    </row>
    <row r="309" spans="1:5">
      <c r="A309" s="5"/>
      <c r="D309" s="5"/>
      <c r="E309" s="5"/>
    </row>
    <row r="310" spans="1:5">
      <c r="A310" s="5"/>
      <c r="D310" s="5"/>
      <c r="E310" s="5"/>
    </row>
    <row r="311" spans="1:5">
      <c r="A311" s="5"/>
      <c r="D311" s="5"/>
      <c r="E311" s="5"/>
    </row>
    <row r="312" spans="1:5">
      <c r="A312" s="5"/>
      <c r="D312" s="5"/>
      <c r="E312" s="5"/>
    </row>
    <row r="313" spans="1:5">
      <c r="A313" s="5"/>
      <c r="D313" s="5"/>
      <c r="E313" s="5"/>
    </row>
    <row r="314" spans="1:5">
      <c r="A314" s="5"/>
      <c r="D314" s="5"/>
      <c r="E314" s="5"/>
    </row>
    <row r="315" spans="1:5">
      <c r="A315" s="5"/>
      <c r="D315" s="5"/>
      <c r="E315" s="5"/>
    </row>
    <row r="316" spans="1:5">
      <c r="A316" s="5"/>
      <c r="D316" s="5"/>
      <c r="E316" s="5"/>
    </row>
    <row r="317" spans="1:5">
      <c r="A317" s="5"/>
      <c r="D317" s="5"/>
      <c r="E317" s="5"/>
    </row>
    <row r="318" spans="1:5">
      <c r="A318" s="5"/>
      <c r="D318" s="5"/>
      <c r="E318" s="5"/>
    </row>
    <row r="319" spans="1:5">
      <c r="A319" s="5"/>
      <c r="D319" s="5"/>
      <c r="E319" s="5"/>
    </row>
    <row r="320" spans="1:5">
      <c r="A320" s="5"/>
      <c r="D320" s="5"/>
      <c r="E320" s="5"/>
    </row>
    <row r="321" spans="1:5">
      <c r="A321" s="5"/>
      <c r="D321" s="5"/>
      <c r="E321" s="5"/>
    </row>
    <row r="322" spans="1:5">
      <c r="A322" s="5"/>
      <c r="D322" s="5"/>
      <c r="E322" s="5"/>
    </row>
    <row r="323" spans="1:5">
      <c r="A323" s="5"/>
      <c r="D323" s="5"/>
      <c r="E323" s="5"/>
    </row>
    <row r="324" spans="1:5">
      <c r="A324" s="5"/>
      <c r="D324" s="5"/>
      <c r="E324" s="5"/>
    </row>
    <row r="325" spans="1:5">
      <c r="A325" s="5"/>
      <c r="D325" s="5"/>
      <c r="E325" s="5"/>
    </row>
    <row r="326" spans="1:5">
      <c r="A326" s="5"/>
      <c r="D326" s="5"/>
      <c r="E326" s="5"/>
    </row>
    <row r="327" spans="1:5">
      <c r="A327" s="5"/>
      <c r="D327" s="5"/>
      <c r="E327" s="5"/>
    </row>
    <row r="328" spans="1:5">
      <c r="A328" s="5"/>
      <c r="D328" s="5"/>
      <c r="E328" s="5"/>
    </row>
    <row r="329" spans="1:5">
      <c r="A329" s="5"/>
      <c r="D329" s="5"/>
      <c r="E329" s="5"/>
    </row>
    <row r="330" spans="1:5">
      <c r="A330" s="5"/>
      <c r="D330" s="5"/>
      <c r="E330" s="5"/>
    </row>
    <row r="331" spans="1:5">
      <c r="A331" s="5"/>
      <c r="D331" s="5"/>
      <c r="E331" s="5"/>
    </row>
    <row r="332" spans="1:5">
      <c r="A332" s="5"/>
      <c r="D332" s="5"/>
      <c r="E332" s="5"/>
    </row>
    <row r="333" spans="1:5">
      <c r="A333" s="5"/>
      <c r="D333" s="5"/>
      <c r="E333" s="5"/>
    </row>
    <row r="334" spans="1:5">
      <c r="A334" s="5"/>
      <c r="D334" s="5"/>
      <c r="E334" s="5"/>
    </row>
    <row r="335" spans="1:5">
      <c r="A335" s="5"/>
      <c r="D335" s="5"/>
      <c r="E335" s="5"/>
    </row>
    <row r="336" spans="1:5">
      <c r="A336" s="5"/>
      <c r="D336" s="5"/>
      <c r="E336" s="5"/>
    </row>
    <row r="337" spans="1:5">
      <c r="A337" s="5"/>
      <c r="D337" s="5"/>
      <c r="E337" s="5"/>
    </row>
    <row r="338" spans="1:5">
      <c r="A338" s="5"/>
      <c r="D338" s="5"/>
      <c r="E338" s="5"/>
    </row>
    <row r="339" spans="1:5">
      <c r="A339" s="5"/>
      <c r="D339" s="5"/>
      <c r="E339" s="5"/>
    </row>
    <row r="340" spans="1:5">
      <c r="A340" s="5"/>
      <c r="D340" s="5"/>
      <c r="E340" s="5"/>
    </row>
    <row r="341" spans="1:5">
      <c r="A341" s="5"/>
      <c r="D341" s="5"/>
      <c r="E341" s="5"/>
    </row>
    <row r="342" spans="1:5">
      <c r="A342" s="5"/>
      <c r="D342" s="5"/>
      <c r="E342" s="5"/>
    </row>
    <row r="343" spans="1:5">
      <c r="A343" s="5"/>
      <c r="D343" s="5"/>
      <c r="E343" s="5"/>
    </row>
    <row r="344" spans="1:5">
      <c r="A344" s="5"/>
      <c r="D344" s="5"/>
      <c r="E344" s="5"/>
    </row>
    <row r="345" spans="1:5">
      <c r="A345" s="5"/>
      <c r="D345" s="5"/>
      <c r="E345" s="5"/>
    </row>
    <row r="346" spans="1:5">
      <c r="A346" s="5"/>
      <c r="D346" s="5"/>
      <c r="E346" s="5"/>
    </row>
    <row r="347" spans="1:5">
      <c r="A347" s="5"/>
      <c r="D347" s="5"/>
      <c r="E347" s="5"/>
    </row>
    <row r="348" spans="1:5">
      <c r="A348" s="5"/>
      <c r="D348" s="5"/>
      <c r="E348" s="5"/>
    </row>
    <row r="349" spans="1:5">
      <c r="A349" s="5"/>
      <c r="D349" s="5"/>
      <c r="E349" s="5"/>
    </row>
    <row r="350" spans="1:5">
      <c r="A350" s="5"/>
      <c r="D350" s="5"/>
      <c r="E350" s="5"/>
    </row>
    <row r="351" spans="1:5">
      <c r="A351" s="5"/>
      <c r="D351" s="5"/>
      <c r="E351" s="5"/>
    </row>
    <row r="352" spans="1:5">
      <c r="A352" s="5"/>
      <c r="D352" s="5"/>
      <c r="E352" s="5"/>
    </row>
    <row r="353" spans="1:5">
      <c r="A353" s="5"/>
      <c r="D353" s="5"/>
      <c r="E353" s="5"/>
    </row>
    <row r="354" spans="1:5">
      <c r="A354" s="5"/>
      <c r="D354" s="5"/>
      <c r="E354" s="5"/>
    </row>
    <row r="355" spans="1:5">
      <c r="A355" s="5"/>
      <c r="D355" s="5"/>
      <c r="E355" s="5"/>
    </row>
    <row r="356" spans="1:5">
      <c r="A356" s="5"/>
      <c r="D356" s="5"/>
      <c r="E356" s="5"/>
    </row>
    <row r="357" spans="1:5">
      <c r="A357" s="5"/>
      <c r="D357" s="5"/>
      <c r="E357" s="5"/>
    </row>
    <row r="358" spans="1:5">
      <c r="A358" s="5"/>
      <c r="D358" s="5"/>
      <c r="E358" s="5"/>
    </row>
    <row r="359" spans="1:5">
      <c r="A359" s="5"/>
      <c r="D359" s="5"/>
      <c r="E359" s="5"/>
    </row>
    <row r="360" spans="1:5">
      <c r="A360" s="5"/>
      <c r="D360" s="5"/>
      <c r="E360" s="5"/>
    </row>
    <row r="361" spans="1:5">
      <c r="A361" s="5"/>
      <c r="D361" s="5"/>
      <c r="E361" s="5"/>
    </row>
    <row r="362" spans="1:5">
      <c r="A362" s="5"/>
      <c r="D362" s="5"/>
      <c r="E362" s="5"/>
    </row>
    <row r="363" spans="1:5">
      <c r="A363" s="5"/>
      <c r="D363" s="5"/>
      <c r="E363" s="5"/>
    </row>
    <row r="364" spans="1:5">
      <c r="A364" s="5"/>
      <c r="D364" s="5"/>
      <c r="E364" s="5"/>
    </row>
    <row r="365" spans="1:5">
      <c r="A365" s="5"/>
      <c r="D365" s="5"/>
      <c r="E365" s="5"/>
    </row>
    <row r="366" spans="1:5">
      <c r="A366" s="5"/>
      <c r="D366" s="5"/>
      <c r="E366" s="5"/>
    </row>
    <row r="367" spans="1:5">
      <c r="A367" s="5"/>
      <c r="D367" s="5"/>
      <c r="E367" s="5"/>
    </row>
    <row r="368" spans="1:5">
      <c r="A368" s="5"/>
      <c r="D368" s="5"/>
      <c r="E368" s="5"/>
    </row>
    <row r="369" spans="1:5">
      <c r="A369" s="5"/>
      <c r="D369" s="5"/>
      <c r="E369" s="5"/>
    </row>
    <row r="370" spans="1:5">
      <c r="A370" s="5"/>
      <c r="D370" s="5"/>
      <c r="E370" s="5"/>
    </row>
    <row r="371" spans="1:5">
      <c r="A371" s="5"/>
      <c r="D371" s="5"/>
      <c r="E371" s="5"/>
    </row>
    <row r="372" spans="1:5">
      <c r="A372" s="5"/>
      <c r="D372" s="5"/>
      <c r="E372" s="5"/>
    </row>
    <row r="373" spans="1:5">
      <c r="A373" s="5"/>
      <c r="D373" s="5"/>
      <c r="E373" s="5"/>
    </row>
    <row r="374" spans="1:5">
      <c r="A374" s="5"/>
      <c r="D374" s="5"/>
      <c r="E374" s="5"/>
    </row>
    <row r="375" spans="1:5">
      <c r="A375" s="5"/>
      <c r="D375" s="5"/>
      <c r="E375" s="5"/>
    </row>
    <row r="376" spans="1:5">
      <c r="A376" s="5"/>
      <c r="D376" s="5"/>
      <c r="E376" s="5"/>
    </row>
    <row r="377" spans="1:5">
      <c r="A377" s="5"/>
      <c r="D377" s="5"/>
      <c r="E377" s="5"/>
    </row>
    <row r="378" spans="1:5">
      <c r="A378" s="5"/>
      <c r="D378" s="5"/>
      <c r="E378" s="5"/>
    </row>
    <row r="379" spans="1:5">
      <c r="A379" s="5"/>
      <c r="D379" s="5"/>
      <c r="E379" s="5"/>
    </row>
    <row r="380" spans="1:5">
      <c r="A380" s="5"/>
      <c r="D380" s="5"/>
      <c r="E380" s="5"/>
    </row>
    <row r="381" spans="1:5">
      <c r="A381" s="5"/>
      <c r="D381" s="5"/>
      <c r="E381" s="5"/>
    </row>
    <row r="382" spans="1:5">
      <c r="A382" s="5"/>
      <c r="D382" s="5"/>
      <c r="E382" s="5"/>
    </row>
    <row r="383" spans="1:5">
      <c r="A383" s="5"/>
      <c r="D383" s="5"/>
      <c r="E383" s="5"/>
    </row>
    <row r="384" spans="1:5">
      <c r="A384" s="5"/>
      <c r="D384" s="5"/>
      <c r="E384" s="5"/>
    </row>
    <row r="385" spans="1:5">
      <c r="A385" s="5"/>
      <c r="D385" s="5"/>
      <c r="E385" s="5"/>
    </row>
    <row r="386" spans="1:5">
      <c r="A386" s="5"/>
      <c r="D386" s="5"/>
      <c r="E386" s="5"/>
    </row>
    <row r="387" spans="1:5">
      <c r="A387" s="5"/>
      <c r="D387" s="5"/>
      <c r="E387" s="5"/>
    </row>
    <row r="388" spans="1:5">
      <c r="A388" s="5"/>
      <c r="D388" s="5"/>
      <c r="E388" s="5"/>
    </row>
    <row r="389" spans="1:5">
      <c r="A389" s="5"/>
      <c r="D389" s="5"/>
      <c r="E389" s="5"/>
    </row>
    <row r="390" spans="1:5">
      <c r="A390" s="5"/>
      <c r="D390" s="5"/>
      <c r="E390" s="5"/>
    </row>
    <row r="391" spans="1:5">
      <c r="A391" s="5"/>
      <c r="D391" s="5"/>
      <c r="E391" s="5"/>
    </row>
    <row r="392" spans="1:5">
      <c r="A392" s="5"/>
      <c r="D392" s="5"/>
      <c r="E392" s="5"/>
    </row>
    <row r="393" spans="1:5">
      <c r="A393" s="5"/>
      <c r="D393" s="5"/>
      <c r="E393" s="5"/>
    </row>
    <row r="394" spans="1:5">
      <c r="A394" s="5"/>
      <c r="D394" s="5"/>
      <c r="E394" s="5"/>
    </row>
    <row r="395" spans="1:5">
      <c r="A395" s="5"/>
      <c r="D395" s="5"/>
      <c r="E395" s="5"/>
    </row>
    <row r="396" spans="1:5">
      <c r="A396" s="5"/>
      <c r="D396" s="5"/>
      <c r="E396" s="5"/>
    </row>
    <row r="397" spans="1:5">
      <c r="A397" s="5"/>
      <c r="D397" s="5"/>
      <c r="E397" s="5"/>
    </row>
    <row r="398" spans="1:5">
      <c r="A398" s="5"/>
      <c r="D398" s="5"/>
      <c r="E398" s="5"/>
    </row>
    <row r="399" spans="1:5">
      <c r="A399" s="5"/>
      <c r="D399" s="5"/>
      <c r="E399" s="5"/>
    </row>
    <row r="400" spans="1:5">
      <c r="A400" s="5"/>
      <c r="D400" s="5"/>
      <c r="E400" s="5"/>
    </row>
    <row r="401" spans="1:5">
      <c r="A401" s="5"/>
      <c r="D401" s="5"/>
      <c r="E401" s="5"/>
    </row>
    <row r="402" spans="1:5">
      <c r="A402" s="5"/>
      <c r="D402" s="5"/>
      <c r="E402" s="5"/>
    </row>
    <row r="403" spans="1:5">
      <c r="A403" s="5"/>
      <c r="D403" s="5"/>
      <c r="E403" s="5"/>
    </row>
    <row r="404" spans="1:5">
      <c r="A404" s="5"/>
      <c r="D404" s="5"/>
      <c r="E404" s="5"/>
    </row>
    <row r="405" spans="1:5">
      <c r="A405" s="5"/>
      <c r="D405" s="5"/>
      <c r="E405" s="5"/>
    </row>
    <row r="406" spans="1:5">
      <c r="A406" s="5"/>
      <c r="D406" s="5"/>
      <c r="E406" s="5"/>
    </row>
    <row r="407" spans="1:5">
      <c r="A407" s="5"/>
      <c r="D407" s="5"/>
      <c r="E407" s="5"/>
    </row>
    <row r="408" spans="1:5">
      <c r="A408" s="5"/>
      <c r="D408" s="5"/>
      <c r="E408" s="5"/>
    </row>
    <row r="409" spans="1:5">
      <c r="A409" s="5"/>
      <c r="D409" s="5"/>
      <c r="E409" s="5"/>
    </row>
    <row r="410" spans="1:5">
      <c r="A410" s="5"/>
      <c r="D410" s="5"/>
      <c r="E410" s="5"/>
    </row>
    <row r="411" spans="1:5">
      <c r="A411" s="5"/>
      <c r="D411" s="5"/>
      <c r="E411" s="5"/>
    </row>
    <row r="412" spans="1:5">
      <c r="A412" s="5"/>
      <c r="D412" s="5"/>
      <c r="E412" s="5"/>
    </row>
    <row r="413" spans="1:5">
      <c r="A413" s="5"/>
      <c r="D413" s="5"/>
      <c r="E413" s="5"/>
    </row>
    <row r="414" spans="1:5">
      <c r="A414" s="5"/>
      <c r="D414" s="5"/>
      <c r="E414" s="5"/>
    </row>
    <row r="415" spans="1:5">
      <c r="A415" s="5"/>
      <c r="D415" s="5"/>
      <c r="E415" s="5"/>
    </row>
    <row r="416" spans="1:5">
      <c r="A416" s="5"/>
      <c r="D416" s="5"/>
      <c r="E416" s="5"/>
    </row>
    <row r="417" spans="1:5">
      <c r="A417" s="5"/>
      <c r="D417" s="5"/>
      <c r="E417" s="5"/>
    </row>
    <row r="418" spans="1:5">
      <c r="A418" s="5"/>
      <c r="D418" s="5"/>
      <c r="E418" s="5"/>
    </row>
    <row r="419" spans="1:5">
      <c r="A419" s="5"/>
      <c r="D419" s="5"/>
      <c r="E419" s="5"/>
    </row>
    <row r="420" spans="1:5">
      <c r="A420" s="5"/>
      <c r="D420" s="5"/>
      <c r="E420" s="5"/>
    </row>
    <row r="421" spans="1:5">
      <c r="A421" s="5"/>
      <c r="D421" s="5"/>
      <c r="E421" s="5"/>
    </row>
    <row r="422" spans="1:5">
      <c r="A422" s="5"/>
      <c r="D422" s="5"/>
      <c r="E422" s="5"/>
    </row>
    <row r="423" spans="1:5">
      <c r="A423" s="5"/>
      <c r="D423" s="5"/>
      <c r="E423" s="5"/>
    </row>
    <row r="424" spans="1:5">
      <c r="A424" s="5"/>
      <c r="D424" s="5"/>
      <c r="E424" s="5"/>
    </row>
    <row r="425" spans="1:5">
      <c r="A425" s="5"/>
      <c r="D425" s="5"/>
      <c r="E425" s="5"/>
    </row>
    <row r="426" spans="1:5">
      <c r="A426" s="5"/>
      <c r="D426" s="5"/>
      <c r="E426" s="5"/>
    </row>
    <row r="427" spans="1:5">
      <c r="A427" s="5"/>
      <c r="D427" s="5"/>
      <c r="E427" s="5"/>
    </row>
    <row r="428" spans="1:5">
      <c r="A428" s="5"/>
      <c r="D428" s="5"/>
      <c r="E428" s="5"/>
    </row>
    <row r="429" spans="1:5">
      <c r="A429" s="5"/>
      <c r="D429" s="5"/>
      <c r="E429" s="5"/>
    </row>
    <row r="430" spans="1:5">
      <c r="A430" s="5"/>
      <c r="D430" s="5"/>
      <c r="E430" s="5"/>
    </row>
    <row r="431" spans="1:5">
      <c r="A431" s="5"/>
      <c r="D431" s="5"/>
      <c r="E431" s="5"/>
    </row>
    <row r="432" spans="1:5">
      <c r="A432" s="5"/>
      <c r="D432" s="5"/>
      <c r="E432" s="5"/>
    </row>
    <row r="433" spans="1:5">
      <c r="A433" s="5"/>
      <c r="D433" s="5"/>
      <c r="E433" s="5"/>
    </row>
    <row r="434" spans="1:5">
      <c r="A434" s="5"/>
      <c r="D434" s="5"/>
      <c r="E434" s="5"/>
    </row>
    <row r="435" spans="1:5">
      <c r="A435" s="5"/>
      <c r="D435" s="5"/>
      <c r="E435" s="5"/>
    </row>
    <row r="436" spans="1:5">
      <c r="A436" s="5"/>
      <c r="D436" s="5"/>
      <c r="E436" s="5"/>
    </row>
    <row r="437" spans="1:5">
      <c r="A437" s="5"/>
      <c r="D437" s="5"/>
      <c r="E437" s="5"/>
    </row>
    <row r="438" spans="1:5">
      <c r="A438" s="5"/>
      <c r="D438" s="5"/>
      <c r="E438" s="5"/>
    </row>
    <row r="439" spans="1:5">
      <c r="A439" s="5"/>
      <c r="D439" s="5"/>
      <c r="E439" s="5"/>
    </row>
    <row r="440" spans="1:5">
      <c r="A440" s="5"/>
      <c r="D440" s="5"/>
      <c r="E440" s="5"/>
    </row>
    <row r="441" spans="1:5">
      <c r="A441" s="5"/>
      <c r="D441" s="5"/>
      <c r="E441" s="5"/>
    </row>
    <row r="442" spans="1:5">
      <c r="A442" s="5"/>
      <c r="D442" s="5"/>
      <c r="E442" s="5"/>
    </row>
    <row r="443" spans="1:5">
      <c r="A443" s="5"/>
      <c r="D443" s="5"/>
      <c r="E443" s="5"/>
    </row>
    <row r="444" spans="1:5">
      <c r="A444" s="5"/>
      <c r="D444" s="5"/>
      <c r="E444" s="5"/>
    </row>
    <row r="445" spans="1:5">
      <c r="A445" s="5"/>
      <c r="D445" s="5"/>
      <c r="E445" s="5"/>
    </row>
    <row r="446" spans="1:5">
      <c r="A446" s="5"/>
      <c r="D446" s="5"/>
      <c r="E446" s="5"/>
    </row>
    <row r="447" spans="1:5">
      <c r="A447" s="5"/>
      <c r="D447" s="5"/>
      <c r="E447" s="5"/>
    </row>
    <row r="448" spans="1:5">
      <c r="A448" s="5"/>
      <c r="D448" s="5"/>
      <c r="E448" s="5"/>
    </row>
    <row r="449" spans="1:5">
      <c r="A449" s="5"/>
      <c r="D449" s="5"/>
      <c r="E449" s="5"/>
    </row>
    <row r="450" spans="1:5">
      <c r="A450" s="5"/>
      <c r="D450" s="5"/>
      <c r="E450" s="5"/>
    </row>
    <row r="451" spans="1:5">
      <c r="A451" s="5"/>
      <c r="D451" s="5"/>
      <c r="E451" s="5"/>
    </row>
    <row r="452" spans="1:5">
      <c r="A452" s="5"/>
      <c r="D452" s="5"/>
      <c r="E452" s="5"/>
    </row>
    <row r="453" spans="1:5">
      <c r="A453" s="5"/>
      <c r="D453" s="5"/>
      <c r="E453" s="5"/>
    </row>
    <row r="454" spans="1:5">
      <c r="A454" s="5"/>
      <c r="D454" s="5"/>
      <c r="E454" s="5"/>
    </row>
    <row r="455" spans="1:5">
      <c r="A455" s="5"/>
      <c r="D455" s="5"/>
      <c r="E455" s="5"/>
    </row>
    <row r="456" spans="1:5">
      <c r="A456" s="5"/>
      <c r="D456" s="5"/>
      <c r="E456" s="5"/>
    </row>
    <row r="457" spans="1:5">
      <c r="A457" s="5"/>
      <c r="D457" s="5"/>
      <c r="E457" s="5"/>
    </row>
    <row r="458" spans="1:5">
      <c r="A458" s="5"/>
      <c r="D458" s="5"/>
      <c r="E458" s="5"/>
    </row>
    <row r="459" spans="1:5">
      <c r="A459" s="5"/>
      <c r="D459" s="5"/>
      <c r="E459" s="5"/>
    </row>
    <row r="460" spans="1:5">
      <c r="A460" s="5"/>
      <c r="D460" s="5"/>
      <c r="E460" s="5"/>
    </row>
    <row r="461" spans="1:5">
      <c r="A461" s="5"/>
      <c r="D461" s="5"/>
      <c r="E461" s="5"/>
    </row>
    <row r="462" spans="1:5">
      <c r="A462" s="5"/>
      <c r="D462" s="5"/>
      <c r="E462" s="5"/>
    </row>
    <row r="463" spans="1:5">
      <c r="A463" s="5"/>
      <c r="D463" s="5"/>
      <c r="E463" s="5"/>
    </row>
    <row r="464" spans="1:5">
      <c r="A464" s="5"/>
      <c r="D464" s="5"/>
      <c r="E464" s="5"/>
    </row>
    <row r="465" spans="1:5">
      <c r="A465" s="5"/>
      <c r="D465" s="5"/>
      <c r="E465" s="5"/>
    </row>
    <row r="466" spans="1:5">
      <c r="A466" s="5"/>
      <c r="D466" s="5"/>
      <c r="E466" s="5"/>
    </row>
    <row r="467" spans="1:5">
      <c r="A467" s="5"/>
      <c r="D467" s="5"/>
      <c r="E467" s="5"/>
    </row>
    <row r="468" spans="1:5">
      <c r="A468" s="5"/>
      <c r="D468" s="5"/>
      <c r="E468" s="5"/>
    </row>
    <row r="469" spans="1:5">
      <c r="A469" s="5"/>
      <c r="D469" s="5"/>
      <c r="E469" s="5"/>
    </row>
    <row r="470" spans="1:5">
      <c r="A470" s="5"/>
      <c r="D470" s="5"/>
      <c r="E470" s="5"/>
    </row>
    <row r="471" spans="1:5">
      <c r="A471" s="5"/>
      <c r="D471" s="5"/>
      <c r="E471" s="5"/>
    </row>
    <row r="472" spans="1:5">
      <c r="A472" s="5"/>
      <c r="D472" s="5"/>
      <c r="E472" s="5"/>
    </row>
    <row r="473" spans="1:5">
      <c r="A473" s="5"/>
      <c r="D473" s="5"/>
      <c r="E473" s="5"/>
    </row>
    <row r="474" spans="1:5">
      <c r="A474" s="5"/>
      <c r="D474" s="5"/>
      <c r="E474" s="5"/>
    </row>
    <row r="475" spans="1:5">
      <c r="A475" s="5"/>
      <c r="D475" s="5"/>
      <c r="E475" s="5"/>
    </row>
    <row r="476" spans="1:5">
      <c r="A476" s="5"/>
      <c r="D476" s="5"/>
      <c r="E476" s="5"/>
    </row>
    <row r="477" spans="1:5">
      <c r="A477" s="5"/>
      <c r="D477" s="5"/>
      <c r="E477" s="5"/>
    </row>
    <row r="478" spans="1:5">
      <c r="A478" s="5"/>
      <c r="D478" s="5"/>
      <c r="E478" s="5"/>
    </row>
    <row r="479" spans="1:5">
      <c r="A479" s="5"/>
      <c r="D479" s="5"/>
      <c r="E479" s="5"/>
    </row>
    <row r="480" spans="1:5">
      <c r="A480" s="5"/>
      <c r="D480" s="5"/>
      <c r="E480" s="5"/>
    </row>
    <row r="481" spans="1:5">
      <c r="A481" s="5"/>
      <c r="D481" s="5"/>
      <c r="E481" s="5"/>
    </row>
    <row r="482" spans="1:5">
      <c r="A482" s="5"/>
      <c r="D482" s="5"/>
      <c r="E482" s="5"/>
    </row>
    <row r="483" spans="1:5">
      <c r="A483" s="5"/>
      <c r="D483" s="5"/>
      <c r="E483" s="5"/>
    </row>
    <row r="484" spans="1:5">
      <c r="A484" s="5"/>
      <c r="D484" s="5"/>
      <c r="E484" s="5"/>
    </row>
    <row r="485" spans="1:5">
      <c r="A485" s="5"/>
      <c r="D485" s="5"/>
      <c r="E485" s="5"/>
    </row>
    <row r="486" spans="1:5">
      <c r="A486" s="5"/>
      <c r="D486" s="5"/>
      <c r="E486" s="5"/>
    </row>
    <row r="487" spans="1:5">
      <c r="A487" s="5"/>
      <c r="D487" s="5"/>
      <c r="E487" s="5"/>
    </row>
    <row r="488" spans="1:5">
      <c r="A488" s="5"/>
      <c r="D488" s="5"/>
      <c r="E488" s="5"/>
    </row>
    <row r="489" spans="1:5">
      <c r="A489" s="5"/>
      <c r="D489" s="5"/>
      <c r="E489" s="5"/>
    </row>
    <row r="490" spans="1:5">
      <c r="A490" s="5"/>
      <c r="D490" s="5"/>
      <c r="E490" s="5"/>
    </row>
    <row r="491" spans="1:5">
      <c r="A491" s="5"/>
      <c r="D491" s="5"/>
      <c r="E491" s="5"/>
    </row>
    <row r="492" spans="1:5">
      <c r="A492" s="5"/>
      <c r="D492" s="5"/>
      <c r="E492" s="5"/>
    </row>
    <row r="493" spans="1:5">
      <c r="A493" s="5"/>
      <c r="D493" s="5"/>
      <c r="E493" s="5"/>
    </row>
    <row r="494" spans="1:5">
      <c r="A494" s="5"/>
      <c r="D494" s="5"/>
      <c r="E494" s="5"/>
    </row>
    <row r="495" spans="1:5">
      <c r="A495" s="5"/>
      <c r="D495" s="5"/>
      <c r="E495" s="5"/>
    </row>
    <row r="496" spans="1:5">
      <c r="A496" s="5"/>
      <c r="D496" s="5"/>
      <c r="E496" s="5"/>
    </row>
    <row r="497" spans="1:5">
      <c r="A497" s="5"/>
      <c r="D497" s="5"/>
      <c r="E497" s="5"/>
    </row>
    <row r="498" spans="1:5">
      <c r="A498" s="5"/>
      <c r="D498" s="5"/>
      <c r="E498" s="5"/>
    </row>
    <row r="499" spans="1:5">
      <c r="A499" s="5"/>
      <c r="D499" s="5"/>
      <c r="E499" s="5"/>
    </row>
    <row r="500" spans="1:5">
      <c r="A500" s="5"/>
      <c r="D500" s="5"/>
      <c r="E500" s="5"/>
    </row>
    <row r="501" spans="1:5">
      <c r="A501" s="5"/>
      <c r="D501" s="5"/>
      <c r="E501" s="5"/>
    </row>
    <row r="502" spans="1:5">
      <c r="A502" s="5"/>
      <c r="D502" s="5"/>
      <c r="E502" s="5"/>
    </row>
    <row r="503" spans="1:5">
      <c r="A503" s="5"/>
      <c r="D503" s="5"/>
      <c r="E503" s="5"/>
    </row>
    <row r="504" spans="1:5">
      <c r="A504" s="5"/>
      <c r="D504" s="5"/>
      <c r="E504" s="5"/>
    </row>
    <row r="505" spans="1:5">
      <c r="A505" s="5"/>
      <c r="D505" s="5"/>
      <c r="E505" s="5"/>
    </row>
    <row r="506" spans="1:5">
      <c r="A506" s="5"/>
      <c r="D506" s="5"/>
      <c r="E506" s="5"/>
    </row>
    <row r="507" spans="1:5">
      <c r="A507" s="5"/>
      <c r="D507" s="5"/>
      <c r="E507" s="5"/>
    </row>
    <row r="508" spans="1:5">
      <c r="A508" s="5"/>
      <c r="D508" s="5"/>
      <c r="E508" s="5"/>
    </row>
    <row r="509" spans="1:5">
      <c r="A509" s="5"/>
      <c r="D509" s="5"/>
      <c r="E509" s="5"/>
    </row>
    <row r="510" spans="1:5">
      <c r="A510" s="5"/>
      <c r="D510" s="5"/>
      <c r="E510" s="5"/>
    </row>
    <row r="511" spans="1:5">
      <c r="A511" s="5"/>
      <c r="D511" s="5"/>
      <c r="E511" s="5"/>
    </row>
    <row r="512" spans="1:5">
      <c r="A512" s="5"/>
      <c r="D512" s="5"/>
      <c r="E512" s="5"/>
    </row>
    <row r="513" spans="1:5">
      <c r="A513" s="5"/>
      <c r="D513" s="5"/>
      <c r="E513" s="5"/>
    </row>
    <row r="514" spans="1:5">
      <c r="A514" s="5"/>
      <c r="D514" s="5"/>
      <c r="E514" s="5"/>
    </row>
    <row r="515" spans="1:5">
      <c r="A515" s="5"/>
      <c r="D515" s="5"/>
      <c r="E515" s="5"/>
    </row>
    <row r="516" spans="1:5">
      <c r="A516" s="5"/>
      <c r="D516" s="5"/>
      <c r="E516" s="5"/>
    </row>
    <row r="517" spans="1:5">
      <c r="A517" s="5"/>
      <c r="D517" s="5"/>
      <c r="E517" s="5"/>
    </row>
    <row r="518" spans="1:5">
      <c r="A518" s="5"/>
      <c r="D518" s="5"/>
      <c r="E518" s="5"/>
    </row>
    <row r="519" spans="1:5">
      <c r="A519" s="5"/>
      <c r="D519" s="5"/>
      <c r="E519" s="5"/>
    </row>
    <row r="520" spans="1:5">
      <c r="A520" s="5"/>
      <c r="D520" s="5"/>
      <c r="E520" s="5"/>
    </row>
    <row r="521" spans="1:5">
      <c r="A521" s="5"/>
      <c r="D521" s="5"/>
      <c r="E521" s="5"/>
    </row>
    <row r="522" spans="1:5">
      <c r="A522" s="5"/>
      <c r="D522" s="5"/>
      <c r="E522" s="5"/>
    </row>
    <row r="523" spans="1:5">
      <c r="A523" s="5"/>
      <c r="D523" s="5"/>
      <c r="E523" s="5"/>
    </row>
    <row r="524" spans="1:5">
      <c r="A524" s="5"/>
      <c r="D524" s="5"/>
      <c r="E524" s="5"/>
    </row>
    <row r="525" spans="1:5">
      <c r="A525" s="5"/>
      <c r="D525" s="5"/>
      <c r="E525" s="5"/>
    </row>
    <row r="526" spans="1:5">
      <c r="A526" s="5"/>
      <c r="D526" s="5"/>
      <c r="E526" s="5"/>
    </row>
    <row r="527" spans="1:5">
      <c r="A527" s="5"/>
      <c r="D527" s="5"/>
      <c r="E527" s="5"/>
    </row>
    <row r="528" spans="1:5">
      <c r="A528" s="5"/>
      <c r="D528" s="5"/>
      <c r="E528" s="5"/>
    </row>
    <row r="529" spans="1:5">
      <c r="A529" s="5"/>
      <c r="D529" s="5"/>
      <c r="E529" s="5"/>
    </row>
    <row r="530" spans="1:5">
      <c r="A530" s="5"/>
      <c r="D530" s="5"/>
      <c r="E530" s="5"/>
    </row>
    <row r="531" spans="1:5">
      <c r="A531" s="5"/>
      <c r="D531" s="5"/>
      <c r="E531" s="5"/>
    </row>
    <row r="532" spans="1:5">
      <c r="A532" s="5"/>
      <c r="D532" s="5"/>
      <c r="E532" s="5"/>
    </row>
    <row r="533" spans="1:5">
      <c r="A533" s="5"/>
      <c r="D533" s="5"/>
      <c r="E533" s="5"/>
    </row>
    <row r="534" spans="1:5">
      <c r="A534" s="5"/>
      <c r="D534" s="5"/>
      <c r="E534" s="5"/>
    </row>
    <row r="535" spans="1:5">
      <c r="A535" s="5"/>
      <c r="D535" s="5"/>
      <c r="E535" s="5"/>
    </row>
    <row r="536" spans="1:5">
      <c r="A536" s="5"/>
      <c r="D536" s="5"/>
      <c r="E536" s="5"/>
    </row>
    <row r="537" spans="1:5">
      <c r="A537" s="5"/>
      <c r="D537" s="5"/>
      <c r="E537" s="5"/>
    </row>
    <row r="538" spans="1:5">
      <c r="A538" s="5"/>
      <c r="D538" s="5"/>
      <c r="E538" s="5"/>
    </row>
    <row r="539" spans="1:5">
      <c r="A539" s="5"/>
      <c r="D539" s="5"/>
      <c r="E539" s="5"/>
    </row>
    <row r="540" spans="1:5">
      <c r="A540" s="5"/>
      <c r="D540" s="5"/>
      <c r="E540" s="5"/>
    </row>
    <row r="541" spans="1:5">
      <c r="A541" s="5"/>
      <c r="D541" s="5"/>
      <c r="E541" s="5"/>
    </row>
    <row r="542" spans="1:5">
      <c r="A542" s="5"/>
      <c r="D542" s="5"/>
      <c r="E542" s="5"/>
    </row>
    <row r="543" spans="1:5">
      <c r="A543" s="5"/>
      <c r="D543" s="5"/>
      <c r="E543" s="5"/>
    </row>
    <row r="544" spans="1:5">
      <c r="A544" s="5"/>
      <c r="D544" s="5"/>
      <c r="E544" s="5"/>
    </row>
    <row r="545" spans="1:5">
      <c r="A545" s="5"/>
      <c r="D545" s="5"/>
      <c r="E545" s="5"/>
    </row>
    <row r="546" spans="1:5">
      <c r="A546" s="5"/>
      <c r="D546" s="5"/>
      <c r="E546" s="5"/>
    </row>
    <row r="547" spans="1:5">
      <c r="A547" s="5"/>
      <c r="D547" s="5"/>
      <c r="E547" s="5"/>
    </row>
    <row r="548" spans="1:5">
      <c r="A548" s="5"/>
      <c r="D548" s="5"/>
      <c r="E548" s="5"/>
    </row>
    <row r="549" spans="1:5">
      <c r="A549" s="5"/>
      <c r="D549" s="5"/>
      <c r="E549" s="5"/>
    </row>
    <row r="550" spans="1:5">
      <c r="A550" s="5"/>
      <c r="D550" s="5"/>
      <c r="E550" s="5"/>
    </row>
    <row r="551" spans="1:5">
      <c r="A551" s="5"/>
      <c r="D551" s="5"/>
      <c r="E551" s="5"/>
    </row>
    <row r="552" spans="1:5">
      <c r="A552" s="5"/>
      <c r="D552" s="5"/>
      <c r="E552" s="5"/>
    </row>
    <row r="553" spans="1:5">
      <c r="A553" s="5"/>
      <c r="D553" s="5"/>
      <c r="E553" s="5"/>
    </row>
    <row r="554" spans="1:5">
      <c r="A554" s="5"/>
      <c r="D554" s="5"/>
      <c r="E554" s="5"/>
    </row>
    <row r="555" spans="1:5">
      <c r="A555" s="5"/>
      <c r="D555" s="5"/>
      <c r="E555" s="5"/>
    </row>
    <row r="556" spans="1:5">
      <c r="A556" s="5"/>
      <c r="D556" s="5"/>
      <c r="E556" s="5"/>
    </row>
    <row r="557" spans="1:5">
      <c r="A557" s="5"/>
      <c r="D557" s="5"/>
      <c r="E557" s="5"/>
    </row>
    <row r="558" spans="1:5">
      <c r="A558" s="5"/>
      <c r="D558" s="5"/>
      <c r="E558" s="5"/>
    </row>
    <row r="559" spans="1:5">
      <c r="A559" s="5"/>
      <c r="D559" s="5"/>
      <c r="E559" s="5"/>
    </row>
    <row r="560" spans="1:5">
      <c r="A560" s="5"/>
      <c r="D560" s="5"/>
      <c r="E560" s="5"/>
    </row>
    <row r="561" spans="1:5">
      <c r="A561" s="5"/>
      <c r="D561" s="5"/>
      <c r="E561" s="5"/>
    </row>
    <row r="562" spans="1:5">
      <c r="A562" s="5"/>
      <c r="D562" s="5"/>
      <c r="E562" s="5"/>
    </row>
    <row r="563" spans="1:5">
      <c r="A563" s="5"/>
      <c r="D563" s="5"/>
      <c r="E563" s="5"/>
    </row>
    <row r="564" spans="1:5">
      <c r="A564" s="5"/>
      <c r="D564" s="5"/>
      <c r="E564" s="5"/>
    </row>
    <row r="565" spans="1:5">
      <c r="A565" s="5"/>
      <c r="D565" s="5"/>
      <c r="E565" s="5"/>
    </row>
    <row r="566" spans="1:5">
      <c r="A566" s="5"/>
      <c r="D566" s="5"/>
      <c r="E566" s="5"/>
    </row>
    <row r="567" spans="1:5">
      <c r="A567" s="5"/>
      <c r="D567" s="5"/>
      <c r="E567" s="5"/>
    </row>
    <row r="568" spans="1:5">
      <c r="A568" s="5"/>
      <c r="D568" s="5"/>
      <c r="E568" s="5"/>
    </row>
    <row r="569" spans="1:5">
      <c r="A569" s="5"/>
      <c r="D569" s="5"/>
      <c r="E569" s="5"/>
    </row>
    <row r="570" spans="1:5">
      <c r="A570" s="5"/>
      <c r="D570" s="5"/>
      <c r="E570" s="5"/>
    </row>
    <row r="571" spans="1:5">
      <c r="A571" s="5"/>
      <c r="D571" s="5"/>
      <c r="E571" s="5"/>
    </row>
    <row r="572" spans="1:5">
      <c r="A572" s="5"/>
      <c r="D572" s="5"/>
      <c r="E572" s="5"/>
    </row>
    <row r="573" spans="1:5">
      <c r="A573" s="5"/>
      <c r="D573" s="5"/>
      <c r="E573" s="5"/>
    </row>
    <row r="574" spans="1:5">
      <c r="A574" s="5"/>
      <c r="D574" s="5"/>
      <c r="E574" s="5"/>
    </row>
    <row r="575" spans="1:5">
      <c r="A575" s="5"/>
      <c r="D575" s="5"/>
      <c r="E575" s="5"/>
    </row>
    <row r="576" spans="1:5">
      <c r="A576" s="5"/>
      <c r="D576" s="5"/>
      <c r="E576" s="5"/>
    </row>
    <row r="577" spans="1:5">
      <c r="A577" s="5"/>
      <c r="D577" s="5"/>
      <c r="E577" s="5"/>
    </row>
    <row r="578" spans="1:5">
      <c r="A578" s="5"/>
      <c r="D578" s="5"/>
      <c r="E578" s="5"/>
    </row>
    <row r="579" spans="1:5">
      <c r="A579" s="5"/>
      <c r="D579" s="5"/>
      <c r="E579" s="5"/>
    </row>
    <row r="580" spans="1:5">
      <c r="A580" s="5"/>
      <c r="D580" s="5"/>
      <c r="E580" s="5"/>
    </row>
    <row r="581" spans="1:5">
      <c r="A581" s="5"/>
      <c r="D581" s="5"/>
      <c r="E581" s="5"/>
    </row>
    <row r="582" spans="1:5">
      <c r="A582" s="5"/>
      <c r="D582" s="5"/>
      <c r="E582" s="5"/>
    </row>
    <row r="583" spans="1:5">
      <c r="A583" s="5"/>
      <c r="D583" s="5"/>
      <c r="E583" s="5"/>
    </row>
    <row r="584" spans="1:5">
      <c r="A584" s="5"/>
      <c r="D584" s="5"/>
      <c r="E584" s="5"/>
    </row>
    <row r="585" spans="1:5">
      <c r="A585" s="5"/>
      <c r="D585" s="5"/>
      <c r="E585" s="5"/>
    </row>
    <row r="586" spans="1:5">
      <c r="A586" s="5"/>
      <c r="D586" s="5"/>
      <c r="E586" s="5"/>
    </row>
    <row r="587" spans="1:5">
      <c r="A587" s="5"/>
      <c r="D587" s="5"/>
      <c r="E587" s="5"/>
    </row>
    <row r="588" spans="1:5">
      <c r="A588" s="5"/>
      <c r="D588" s="5"/>
      <c r="E588" s="5"/>
    </row>
    <row r="589" spans="1:5">
      <c r="A589" s="5"/>
      <c r="D589" s="5"/>
      <c r="E589" s="5"/>
    </row>
    <row r="590" spans="1:5">
      <c r="A590" s="5"/>
      <c r="D590" s="5"/>
      <c r="E590" s="5"/>
    </row>
    <row r="591" spans="1:5">
      <c r="A591" s="5"/>
      <c r="D591" s="5"/>
      <c r="E591" s="5"/>
    </row>
    <row r="592" spans="1:5">
      <c r="A592" s="5"/>
      <c r="D592" s="5"/>
      <c r="E592" s="5"/>
    </row>
    <row r="593" spans="1:5">
      <c r="A593" s="5"/>
      <c r="D593" s="5"/>
      <c r="E593" s="5"/>
    </row>
    <row r="594" spans="1:5">
      <c r="A594" s="5"/>
      <c r="D594" s="5"/>
      <c r="E594" s="5"/>
    </row>
    <row r="595" spans="1:5">
      <c r="A595" s="5"/>
      <c r="D595" s="5"/>
      <c r="E595" s="5"/>
    </row>
    <row r="596" spans="1:5">
      <c r="A596" s="5"/>
      <c r="D596" s="5"/>
      <c r="E596" s="5"/>
    </row>
    <row r="597" spans="1:5">
      <c r="A597" s="5"/>
      <c r="D597" s="5"/>
      <c r="E597" s="5"/>
    </row>
    <row r="598" spans="1:5">
      <c r="A598" s="5"/>
      <c r="D598" s="5"/>
      <c r="E598" s="5"/>
    </row>
    <row r="599" spans="1:5">
      <c r="A599" s="5"/>
      <c r="D599" s="5"/>
      <c r="E599" s="5"/>
    </row>
    <row r="600" spans="1:5">
      <c r="A600" s="5"/>
      <c r="D600" s="5"/>
      <c r="E600" s="5"/>
    </row>
    <row r="601" spans="1:5">
      <c r="A601" s="5"/>
      <c r="D601" s="5"/>
      <c r="E601" s="5"/>
    </row>
    <row r="602" spans="1:5">
      <c r="A602" s="5"/>
      <c r="D602" s="5"/>
      <c r="E602" s="5"/>
    </row>
    <row r="603" spans="1:5">
      <c r="A603" s="5"/>
      <c r="D603" s="5"/>
      <c r="E603" s="5"/>
    </row>
    <row r="604" spans="1:5">
      <c r="A604" s="5"/>
      <c r="D604" s="5"/>
      <c r="E604" s="5"/>
    </row>
    <row r="605" spans="1:5">
      <c r="A605" s="5"/>
      <c r="D605" s="5"/>
      <c r="E605" s="5"/>
    </row>
    <row r="606" spans="1:5">
      <c r="A606" s="5"/>
      <c r="D606" s="5"/>
      <c r="E606" s="5"/>
    </row>
    <row r="607" spans="1:5">
      <c r="A607" s="5"/>
      <c r="D607" s="5"/>
      <c r="E607" s="5"/>
    </row>
    <row r="608" spans="1:5">
      <c r="A608" s="5"/>
      <c r="D608" s="5"/>
      <c r="E608" s="5"/>
    </row>
    <row r="609" spans="1:5">
      <c r="A609" s="5"/>
      <c r="D609" s="5"/>
      <c r="E609" s="5"/>
    </row>
    <row r="610" spans="1:5">
      <c r="A610" s="5"/>
      <c r="D610" s="5"/>
      <c r="E610" s="5"/>
    </row>
    <row r="611" spans="1:5">
      <c r="A611" s="5"/>
      <c r="D611" s="5"/>
      <c r="E611" s="5"/>
    </row>
    <row r="612" spans="1:5">
      <c r="A612" s="5"/>
      <c r="D612" s="5"/>
      <c r="E612" s="5"/>
    </row>
    <row r="613" spans="1:5">
      <c r="A613" s="5"/>
      <c r="D613" s="5"/>
      <c r="E613" s="5"/>
    </row>
    <row r="614" spans="1:5">
      <c r="A614" s="5"/>
      <c r="D614" s="5"/>
      <c r="E614" s="5"/>
    </row>
    <row r="615" spans="1:5">
      <c r="A615" s="5"/>
      <c r="D615" s="5"/>
      <c r="E615" s="5"/>
    </row>
    <row r="616" spans="1:5">
      <c r="A616" s="5"/>
      <c r="D616" s="5"/>
      <c r="E616" s="5"/>
    </row>
    <row r="617" spans="1:5">
      <c r="A617" s="5"/>
      <c r="D617" s="5"/>
      <c r="E617" s="5"/>
    </row>
    <row r="618" spans="1:5">
      <c r="A618" s="5"/>
      <c r="D618" s="5"/>
      <c r="E618" s="5"/>
    </row>
    <row r="619" spans="1:5">
      <c r="A619" s="5"/>
      <c r="D619" s="5"/>
      <c r="E619" s="5"/>
    </row>
    <row r="620" spans="1:5">
      <c r="A620" s="5"/>
      <c r="D620" s="5"/>
      <c r="E620" s="5"/>
    </row>
    <row r="621" spans="1:5">
      <c r="A621" s="5"/>
      <c r="D621" s="5"/>
      <c r="E621" s="5"/>
    </row>
    <row r="622" spans="1:5">
      <c r="A622" s="5"/>
      <c r="D622" s="5"/>
      <c r="E622" s="5"/>
    </row>
    <row r="623" spans="1:5">
      <c r="A623" s="5"/>
      <c r="D623" s="5"/>
      <c r="E623" s="5"/>
    </row>
    <row r="624" spans="1:5">
      <c r="A624" s="5"/>
      <c r="D624" s="5"/>
      <c r="E624" s="5"/>
    </row>
    <row r="625" spans="1:5">
      <c r="A625" s="5"/>
      <c r="D625" s="5"/>
      <c r="E625" s="5"/>
    </row>
    <row r="626" spans="1:5">
      <c r="A626" s="5"/>
      <c r="D626" s="5"/>
      <c r="E626" s="5"/>
    </row>
    <row r="627" spans="1:5">
      <c r="A627" s="5"/>
      <c r="D627" s="5"/>
      <c r="E627" s="5"/>
    </row>
    <row r="628" spans="1:5">
      <c r="A628" s="5"/>
      <c r="D628" s="5"/>
      <c r="E628" s="5"/>
    </row>
    <row r="629" spans="1:5">
      <c r="A629" s="5"/>
      <c r="D629" s="5"/>
      <c r="E629" s="5"/>
    </row>
    <row r="630" spans="1:5">
      <c r="A630" s="5"/>
      <c r="D630" s="5"/>
      <c r="E630" s="5"/>
    </row>
    <row r="631" spans="1:5">
      <c r="A631" s="5"/>
      <c r="D631" s="5"/>
      <c r="E631" s="5"/>
    </row>
    <row r="632" spans="1:5">
      <c r="A632" s="5"/>
      <c r="D632" s="5"/>
      <c r="E632" s="5"/>
    </row>
    <row r="633" spans="1:5">
      <c r="A633" s="5"/>
      <c r="D633" s="5"/>
      <c r="E633" s="5"/>
    </row>
    <row r="634" spans="1:5">
      <c r="A634" s="5"/>
      <c r="D634" s="5"/>
      <c r="E634" s="5"/>
    </row>
    <row r="635" spans="1:5">
      <c r="A635" s="5"/>
      <c r="D635" s="5"/>
      <c r="E635" s="5"/>
    </row>
    <row r="636" spans="1:5">
      <c r="A636" s="5"/>
      <c r="D636" s="5"/>
      <c r="E636" s="5"/>
    </row>
    <row r="637" spans="1:5">
      <c r="A637" s="5"/>
      <c r="D637" s="5"/>
      <c r="E637" s="5"/>
    </row>
    <row r="638" spans="1:5">
      <c r="A638" s="5"/>
      <c r="D638" s="5"/>
      <c r="E638" s="5"/>
    </row>
    <row r="639" spans="1:5">
      <c r="A639" s="5"/>
      <c r="D639" s="5"/>
      <c r="E639" s="5"/>
    </row>
    <row r="640" spans="1:5">
      <c r="A640" s="5"/>
      <c r="D640" s="5"/>
      <c r="E640" s="5"/>
    </row>
    <row r="641" spans="1:5">
      <c r="A641" s="5"/>
      <c r="D641" s="5"/>
      <c r="E641" s="5"/>
    </row>
    <row r="642" spans="1:5">
      <c r="A642" s="5"/>
      <c r="D642" s="5"/>
      <c r="E642" s="5"/>
    </row>
    <row r="643" spans="1:5">
      <c r="A643" s="5"/>
      <c r="D643" s="5"/>
      <c r="E643" s="5"/>
    </row>
    <row r="644" spans="1:5">
      <c r="A644" s="5"/>
      <c r="D644" s="5"/>
      <c r="E644" s="5"/>
    </row>
    <row r="645" spans="1:5">
      <c r="A645" s="5"/>
      <c r="D645" s="5"/>
      <c r="E645" s="5"/>
    </row>
    <row r="646" spans="1:5">
      <c r="A646" s="5"/>
      <c r="D646" s="5"/>
      <c r="E646" s="5"/>
    </row>
    <row r="647" spans="1:5">
      <c r="A647" s="5"/>
      <c r="D647" s="5"/>
      <c r="E647" s="5"/>
    </row>
    <row r="648" spans="1:5">
      <c r="A648" s="5"/>
      <c r="D648" s="5"/>
      <c r="E648" s="5"/>
    </row>
    <row r="649" spans="1:5">
      <c r="A649" s="5"/>
      <c r="D649" s="5"/>
      <c r="E649" s="5"/>
    </row>
    <row r="650" spans="1:5">
      <c r="A650" s="5"/>
      <c r="D650" s="5"/>
      <c r="E650" s="5"/>
    </row>
    <row r="651" spans="1:5">
      <c r="A651" s="5"/>
      <c r="D651" s="5"/>
      <c r="E651" s="5"/>
    </row>
    <row r="652" spans="1:5">
      <c r="A652" s="5"/>
      <c r="D652" s="5"/>
      <c r="E652" s="5"/>
    </row>
    <row r="653" spans="1:5">
      <c r="A653" s="5"/>
      <c r="D653" s="5"/>
      <c r="E653" s="5"/>
    </row>
    <row r="654" spans="1:5">
      <c r="A654" s="5"/>
      <c r="D654" s="5"/>
      <c r="E654" s="5"/>
    </row>
    <row r="655" spans="1:5">
      <c r="A655" s="5"/>
      <c r="D655" s="5"/>
      <c r="E655" s="5"/>
    </row>
    <row r="656" spans="1:5">
      <c r="A656" s="5"/>
      <c r="D656" s="5"/>
      <c r="E656" s="5"/>
    </row>
    <row r="657" spans="1:5">
      <c r="A657" s="5"/>
      <c r="D657" s="5"/>
      <c r="E657" s="5"/>
    </row>
    <row r="658" spans="1:5">
      <c r="A658" s="5"/>
      <c r="D658" s="5"/>
      <c r="E658" s="5"/>
    </row>
    <row r="659" spans="1:5">
      <c r="A659" s="5"/>
      <c r="D659" s="5"/>
      <c r="E659" s="5"/>
    </row>
    <row r="660" spans="1:5">
      <c r="A660" s="5"/>
      <c r="D660" s="5"/>
      <c r="E660" s="5"/>
    </row>
    <row r="661" spans="1:5">
      <c r="A661" s="5"/>
      <c r="D661" s="5"/>
      <c r="E661" s="5"/>
    </row>
    <row r="662" spans="1:5">
      <c r="A662" s="5"/>
      <c r="D662" s="5"/>
      <c r="E662" s="5"/>
    </row>
    <row r="663" spans="1:5">
      <c r="A663" s="5"/>
      <c r="D663" s="5"/>
      <c r="E663" s="5"/>
    </row>
    <row r="664" spans="1:5">
      <c r="A664" s="5"/>
      <c r="D664" s="5"/>
      <c r="E664" s="5"/>
    </row>
    <row r="665" spans="1:5">
      <c r="A665" s="5"/>
      <c r="D665" s="5"/>
      <c r="E665" s="5"/>
    </row>
    <row r="666" spans="1:5">
      <c r="A666" s="5"/>
      <c r="D666" s="5"/>
      <c r="E666" s="5"/>
    </row>
    <row r="667" spans="1:5">
      <c r="A667" s="5"/>
      <c r="D667" s="5"/>
      <c r="E667" s="5"/>
    </row>
    <row r="668" spans="1:5">
      <c r="A668" s="5"/>
      <c r="D668" s="5"/>
      <c r="E668" s="5"/>
    </row>
    <row r="669" spans="1:5">
      <c r="A669" s="5"/>
      <c r="D669" s="5"/>
      <c r="E669" s="5"/>
    </row>
    <row r="670" spans="1:5">
      <c r="A670" s="5"/>
      <c r="D670" s="5"/>
      <c r="E670" s="5"/>
    </row>
    <row r="671" spans="1:5">
      <c r="A671" s="5"/>
      <c r="D671" s="5"/>
      <c r="E671" s="5"/>
    </row>
    <row r="672" spans="1:5">
      <c r="A672" s="5"/>
      <c r="D672" s="5"/>
      <c r="E672" s="5"/>
    </row>
    <row r="673" spans="1:5">
      <c r="A673" s="5"/>
      <c r="D673" s="5"/>
      <c r="E673" s="5"/>
    </row>
    <row r="674" spans="1:5">
      <c r="A674" s="5"/>
      <c r="D674" s="5"/>
      <c r="E674" s="5"/>
    </row>
    <row r="675" spans="1:5">
      <c r="A675" s="5"/>
      <c r="D675" s="5"/>
      <c r="E675" s="5"/>
    </row>
    <row r="676" spans="1:5">
      <c r="A676" s="5"/>
      <c r="D676" s="5"/>
      <c r="E676" s="5"/>
    </row>
    <row r="677" spans="1:5">
      <c r="A677" s="5"/>
      <c r="D677" s="5"/>
      <c r="E677" s="5"/>
    </row>
    <row r="678" spans="1:5">
      <c r="A678" s="5"/>
      <c r="D678" s="5"/>
      <c r="E678" s="5"/>
    </row>
    <row r="679" spans="1:5">
      <c r="A679" s="5"/>
      <c r="D679" s="5"/>
      <c r="E679" s="5"/>
    </row>
    <row r="680" spans="1:5">
      <c r="A680" s="5"/>
      <c r="D680" s="5"/>
      <c r="E680" s="5"/>
    </row>
    <row r="681" spans="1:5">
      <c r="A681" s="5"/>
      <c r="D681" s="5"/>
      <c r="E681" s="5"/>
    </row>
    <row r="682" spans="1:5">
      <c r="A682" s="5"/>
      <c r="D682" s="5"/>
      <c r="E682" s="5"/>
    </row>
    <row r="683" spans="1:5">
      <c r="A683" s="5"/>
      <c r="D683" s="5"/>
      <c r="E683" s="5"/>
    </row>
    <row r="684" spans="1:5">
      <c r="A684" s="5"/>
      <c r="D684" s="5"/>
      <c r="E684" s="5"/>
    </row>
    <row r="685" spans="1:5">
      <c r="A685" s="5"/>
      <c r="D685" s="5"/>
      <c r="E685" s="5"/>
    </row>
    <row r="686" spans="1:5">
      <c r="A686" s="5"/>
      <c r="D686" s="5"/>
      <c r="E686" s="5"/>
    </row>
    <row r="687" spans="1:5">
      <c r="A687" s="5"/>
      <c r="D687" s="5"/>
      <c r="E687" s="5"/>
    </row>
    <row r="688" spans="1:5">
      <c r="A688" s="5"/>
      <c r="D688" s="5"/>
      <c r="E688" s="5"/>
    </row>
    <row r="689" spans="1:5">
      <c r="A689" s="5"/>
      <c r="D689" s="5"/>
      <c r="E689" s="5"/>
    </row>
    <row r="690" spans="1:5">
      <c r="A690" s="5"/>
      <c r="D690" s="5"/>
      <c r="E690" s="5"/>
    </row>
    <row r="691" spans="1:5">
      <c r="A691" s="5"/>
      <c r="D691" s="5"/>
      <c r="E691" s="5"/>
    </row>
    <row r="692" spans="1:5">
      <c r="A692" s="5"/>
      <c r="D692" s="5"/>
      <c r="E692" s="5"/>
    </row>
    <row r="693" spans="1:5">
      <c r="A693" s="5"/>
      <c r="D693" s="5"/>
      <c r="E693" s="5"/>
    </row>
    <row r="694" spans="1:5">
      <c r="A694" s="5"/>
      <c r="D694" s="5"/>
      <c r="E694" s="5"/>
    </row>
    <row r="695" spans="1:5">
      <c r="A695" s="5"/>
      <c r="D695" s="5"/>
      <c r="E695" s="5"/>
    </row>
    <row r="696" spans="1:5">
      <c r="A696" s="5"/>
      <c r="D696" s="5"/>
      <c r="E696" s="5"/>
    </row>
    <row r="697" spans="1:5">
      <c r="A697" s="5"/>
      <c r="D697" s="5"/>
      <c r="E697" s="5"/>
    </row>
    <row r="698" spans="1:5">
      <c r="A698" s="5"/>
      <c r="D698" s="5"/>
      <c r="E698" s="5"/>
    </row>
    <row r="699" spans="1:5">
      <c r="A699" s="5"/>
      <c r="D699" s="5"/>
      <c r="E699" s="5"/>
    </row>
    <row r="700" spans="1:5">
      <c r="A700" s="5"/>
      <c r="D700" s="5"/>
      <c r="E700" s="5"/>
    </row>
    <row r="701" spans="1:5">
      <c r="A701" s="5"/>
      <c r="D701" s="5"/>
      <c r="E701" s="5"/>
    </row>
    <row r="702" spans="1:5">
      <c r="A702" s="5"/>
      <c r="D702" s="5"/>
      <c r="E702" s="5"/>
    </row>
    <row r="703" spans="1:5">
      <c r="A703" s="5"/>
      <c r="D703" s="5"/>
      <c r="E703" s="5"/>
    </row>
    <row r="704" spans="1:5">
      <c r="A704" s="5"/>
      <c r="D704" s="5"/>
      <c r="E704" s="5"/>
    </row>
    <row r="705" spans="1:5">
      <c r="A705" s="5"/>
      <c r="D705" s="5"/>
      <c r="E705" s="5"/>
    </row>
    <row r="706" spans="1:5">
      <c r="A706" s="5"/>
      <c r="D706" s="5"/>
      <c r="E706" s="5"/>
    </row>
    <row r="707" spans="1:5">
      <c r="A707" s="5"/>
      <c r="D707" s="5"/>
      <c r="E707" s="5"/>
    </row>
    <row r="708" spans="1:5">
      <c r="A708" s="5"/>
      <c r="D708" s="5"/>
      <c r="E708" s="5"/>
    </row>
    <row r="709" spans="1:5">
      <c r="A709" s="5"/>
      <c r="D709" s="5"/>
      <c r="E709" s="5"/>
    </row>
    <row r="710" spans="1:5">
      <c r="A710" s="5"/>
      <c r="D710" s="5"/>
      <c r="E710" s="5"/>
    </row>
    <row r="711" spans="1:5">
      <c r="A711" s="5"/>
      <c r="D711" s="5"/>
      <c r="E711" s="5"/>
    </row>
    <row r="712" spans="1:5">
      <c r="A712" s="5"/>
      <c r="D712" s="5"/>
      <c r="E712" s="5"/>
    </row>
    <row r="713" spans="1:5">
      <c r="A713" s="5"/>
      <c r="D713" s="5"/>
      <c r="E713" s="5"/>
    </row>
    <row r="714" spans="1:5">
      <c r="A714" s="5"/>
      <c r="D714" s="5"/>
      <c r="E714" s="5"/>
    </row>
    <row r="715" spans="1:5">
      <c r="A715" s="5"/>
      <c r="D715" s="5"/>
      <c r="E715" s="5"/>
    </row>
    <row r="716" spans="1:5">
      <c r="A716" s="5"/>
      <c r="D716" s="5"/>
      <c r="E716" s="5"/>
    </row>
    <row r="717" spans="1:5">
      <c r="A717" s="5"/>
      <c r="D717" s="5"/>
      <c r="E717" s="5"/>
    </row>
    <row r="718" spans="1:5">
      <c r="A718" s="5"/>
      <c r="D718" s="5"/>
      <c r="E718" s="5"/>
    </row>
    <row r="719" spans="1:5">
      <c r="A719" s="5"/>
      <c r="D719" s="5"/>
      <c r="E719" s="5"/>
    </row>
    <row r="720" spans="1:5">
      <c r="A720" s="5"/>
      <c r="D720" s="5"/>
      <c r="E720" s="5"/>
    </row>
    <row r="721" spans="1:5">
      <c r="A721" s="5"/>
      <c r="D721" s="5"/>
      <c r="E721" s="5"/>
    </row>
    <row r="722" spans="1:5">
      <c r="A722" s="5"/>
      <c r="D722" s="5"/>
      <c r="E722" s="5"/>
    </row>
    <row r="723" spans="1:5">
      <c r="A723" s="5"/>
      <c r="D723" s="5"/>
      <c r="E723" s="5"/>
    </row>
    <row r="724" spans="1:5">
      <c r="A724" s="5"/>
      <c r="D724" s="5"/>
      <c r="E724" s="5"/>
    </row>
    <row r="725" spans="1:5">
      <c r="A725" s="5"/>
      <c r="D725" s="5"/>
      <c r="E725" s="5"/>
    </row>
    <row r="726" spans="1:5">
      <c r="A726" s="5"/>
      <c r="D726" s="5"/>
      <c r="E726" s="5"/>
    </row>
    <row r="727" spans="1:5">
      <c r="A727" s="5"/>
      <c r="D727" s="5"/>
      <c r="E727" s="5"/>
    </row>
    <row r="728" spans="1:5">
      <c r="A728" s="5"/>
      <c r="D728" s="5"/>
      <c r="E728" s="5"/>
    </row>
    <row r="729" spans="1:5">
      <c r="A729" s="5"/>
      <c r="D729" s="5"/>
      <c r="E729" s="5"/>
    </row>
    <row r="730" spans="1:5">
      <c r="A730" s="5"/>
      <c r="D730" s="5"/>
      <c r="E730" s="5"/>
    </row>
    <row r="731" spans="1:5">
      <c r="A731" s="5"/>
      <c r="D731" s="5"/>
      <c r="E731" s="5"/>
    </row>
    <row r="732" spans="1:5">
      <c r="A732" s="5"/>
      <c r="D732" s="5"/>
      <c r="E732" s="5"/>
    </row>
    <row r="733" spans="1:5">
      <c r="A733" s="5"/>
      <c r="D733" s="5"/>
      <c r="E733" s="5"/>
    </row>
    <row r="734" spans="1:5">
      <c r="A734" s="5"/>
      <c r="D734" s="5"/>
      <c r="E734" s="5"/>
    </row>
    <row r="735" spans="1:5">
      <c r="A735" s="5"/>
      <c r="D735" s="5"/>
      <c r="E735" s="5"/>
    </row>
    <row r="736" spans="1:5">
      <c r="A736" s="5"/>
      <c r="D736" s="5"/>
      <c r="E736" s="5"/>
    </row>
    <row r="737" spans="1:5">
      <c r="A737" s="5"/>
      <c r="D737" s="5"/>
      <c r="E737" s="5"/>
    </row>
    <row r="738" spans="1:5">
      <c r="A738" s="5"/>
      <c r="D738" s="5"/>
      <c r="E738" s="5"/>
    </row>
    <row r="739" spans="1:5">
      <c r="A739" s="5"/>
      <c r="D739" s="5"/>
      <c r="E739" s="5"/>
    </row>
    <row r="740" spans="1:5">
      <c r="A740" s="5"/>
      <c r="D740" s="5"/>
      <c r="E740" s="5"/>
    </row>
    <row r="741" spans="1:5">
      <c r="A741" s="5"/>
      <c r="D741" s="5"/>
      <c r="E741" s="5"/>
    </row>
    <row r="742" spans="1:5">
      <c r="A742" s="5"/>
      <c r="D742" s="5"/>
      <c r="E742" s="5"/>
    </row>
    <row r="743" spans="1:5">
      <c r="A743" s="5"/>
      <c r="D743" s="5"/>
      <c r="E743" s="5"/>
    </row>
    <row r="744" spans="1:5">
      <c r="A744" s="5"/>
      <c r="D744" s="5"/>
      <c r="E744" s="5"/>
    </row>
    <row r="745" spans="1:5">
      <c r="A745" s="5"/>
      <c r="D745" s="5"/>
      <c r="E745" s="5"/>
    </row>
    <row r="746" spans="1:5">
      <c r="A746" s="5"/>
      <c r="D746" s="5"/>
      <c r="E746" s="5"/>
    </row>
    <row r="747" spans="1:5">
      <c r="A747" s="5"/>
      <c r="D747" s="5"/>
      <c r="E747" s="5"/>
    </row>
    <row r="748" spans="1:5">
      <c r="A748" s="5"/>
      <c r="D748" s="5"/>
      <c r="E748" s="5"/>
    </row>
    <row r="749" spans="1:5">
      <c r="A749" s="5"/>
      <c r="D749" s="5"/>
      <c r="E749" s="5"/>
    </row>
    <row r="750" spans="1:5">
      <c r="A750" s="5"/>
      <c r="D750" s="5"/>
      <c r="E750" s="5"/>
    </row>
    <row r="751" spans="1:5">
      <c r="A751" s="5"/>
      <c r="D751" s="5"/>
      <c r="E751" s="5"/>
    </row>
    <row r="752" spans="1:5">
      <c r="A752" s="5"/>
      <c r="D752" s="5"/>
      <c r="E752" s="5"/>
    </row>
    <row r="753" spans="1:5">
      <c r="A753" s="5"/>
      <c r="D753" s="5"/>
      <c r="E753" s="5"/>
    </row>
    <row r="754" spans="1:5">
      <c r="A754" s="5"/>
      <c r="D754" s="5"/>
      <c r="E754" s="5"/>
    </row>
    <row r="755" spans="1:5">
      <c r="A755" s="5"/>
      <c r="D755" s="5"/>
      <c r="E755" s="5"/>
    </row>
    <row r="756" spans="1:5">
      <c r="A756" s="5"/>
      <c r="D756" s="5"/>
      <c r="E756" s="5"/>
    </row>
    <row r="757" spans="1:5">
      <c r="A757" s="5"/>
      <c r="D757" s="5"/>
      <c r="E757" s="5"/>
    </row>
    <row r="758" spans="1:5">
      <c r="A758" s="5"/>
      <c r="D758" s="5"/>
      <c r="E758" s="5"/>
    </row>
    <row r="759" spans="1:5">
      <c r="A759" s="5"/>
      <c r="D759" s="5"/>
      <c r="E759" s="5"/>
    </row>
    <row r="760" spans="1:5">
      <c r="A760" s="5"/>
      <c r="D760" s="5"/>
      <c r="E760" s="5"/>
    </row>
    <row r="761" spans="1:5">
      <c r="A761" s="5"/>
      <c r="D761" s="5"/>
      <c r="E761" s="5"/>
    </row>
    <row r="762" spans="1:5">
      <c r="A762" s="5"/>
      <c r="D762" s="5"/>
      <c r="E762" s="5"/>
    </row>
    <row r="763" spans="1:5">
      <c r="A763" s="5"/>
      <c r="D763" s="5"/>
      <c r="E763" s="5"/>
    </row>
    <row r="764" spans="1:5">
      <c r="A764" s="5"/>
      <c r="D764" s="5"/>
      <c r="E764" s="5"/>
    </row>
    <row r="765" spans="1:5">
      <c r="A765" s="5"/>
      <c r="D765" s="5"/>
      <c r="E765" s="5"/>
    </row>
    <row r="766" spans="1:5">
      <c r="A766" s="5"/>
      <c r="D766" s="5"/>
      <c r="E766" s="5"/>
    </row>
    <row r="767" spans="1:5">
      <c r="A767" s="5"/>
      <c r="D767" s="5"/>
      <c r="E767" s="5"/>
    </row>
    <row r="768" spans="1:5">
      <c r="A768" s="5"/>
      <c r="D768" s="5"/>
      <c r="E768" s="5"/>
    </row>
    <row r="769" spans="1:5">
      <c r="A769" s="5"/>
      <c r="D769" s="5"/>
      <c r="E769" s="5"/>
    </row>
    <row r="770" spans="1:5">
      <c r="A770" s="5"/>
      <c r="D770" s="5"/>
      <c r="E770" s="5"/>
    </row>
    <row r="771" spans="1:5">
      <c r="A771" s="5"/>
      <c r="D771" s="5"/>
      <c r="E771" s="5"/>
    </row>
    <row r="772" spans="1:5">
      <c r="A772" s="5"/>
      <c r="D772" s="5"/>
      <c r="E772" s="5"/>
    </row>
    <row r="773" spans="1:5">
      <c r="A773" s="5"/>
      <c r="D773" s="5"/>
      <c r="E773" s="5"/>
    </row>
    <row r="774" spans="1:5">
      <c r="A774" s="5"/>
      <c r="D774" s="5"/>
      <c r="E774" s="5"/>
    </row>
    <row r="775" spans="1:5">
      <c r="A775" s="5"/>
      <c r="D775" s="5"/>
      <c r="E775" s="5"/>
    </row>
    <row r="776" spans="1:5">
      <c r="A776" s="5"/>
      <c r="D776" s="5"/>
      <c r="E776" s="5"/>
    </row>
    <row r="777" spans="1:5">
      <c r="A777" s="5"/>
      <c r="D777" s="5"/>
      <c r="E777" s="5"/>
    </row>
    <row r="778" spans="1:5">
      <c r="A778" s="5"/>
      <c r="D778" s="5"/>
      <c r="E778" s="5"/>
    </row>
    <row r="779" spans="1:5">
      <c r="A779" s="5"/>
      <c r="D779" s="5"/>
      <c r="E779" s="5"/>
    </row>
    <row r="780" spans="1:5">
      <c r="A780" s="5"/>
      <c r="D780" s="5"/>
      <c r="E780" s="5"/>
    </row>
    <row r="781" spans="1:5">
      <c r="A781" s="5"/>
      <c r="D781" s="5"/>
      <c r="E781" s="5"/>
    </row>
    <row r="782" spans="1:5">
      <c r="A782" s="5"/>
      <c r="D782" s="5"/>
      <c r="E782" s="5"/>
    </row>
    <row r="783" spans="1:5">
      <c r="A783" s="5"/>
      <c r="D783" s="5"/>
      <c r="E783" s="5"/>
    </row>
    <row r="784" spans="1:5">
      <c r="A784" s="5"/>
      <c r="D784" s="5"/>
      <c r="E784" s="5"/>
    </row>
    <row r="785" spans="1:5">
      <c r="A785" s="5"/>
      <c r="D785" s="5"/>
      <c r="E785" s="5"/>
    </row>
    <row r="786" spans="1:5">
      <c r="A786" s="5"/>
      <c r="D786" s="5"/>
      <c r="E786" s="5"/>
    </row>
    <row r="787" spans="1:5">
      <c r="A787" s="5"/>
      <c r="D787" s="5"/>
      <c r="E787" s="5"/>
    </row>
    <row r="788" spans="1:5">
      <c r="A788" s="5"/>
      <c r="D788" s="5"/>
      <c r="E788" s="5"/>
    </row>
    <row r="789" spans="1:5">
      <c r="A789" s="5"/>
      <c r="D789" s="5"/>
      <c r="E789" s="5"/>
    </row>
    <row r="790" spans="1:5">
      <c r="A790" s="5"/>
      <c r="D790" s="5"/>
      <c r="E790" s="5"/>
    </row>
    <row r="791" spans="1:5">
      <c r="A791" s="5"/>
      <c r="D791" s="5"/>
      <c r="E791" s="5"/>
    </row>
    <row r="792" spans="1:5">
      <c r="A792" s="5"/>
      <c r="D792" s="5"/>
      <c r="E792" s="5"/>
    </row>
    <row r="793" spans="1:5">
      <c r="A793" s="5"/>
      <c r="D793" s="5"/>
      <c r="E793" s="5"/>
    </row>
    <row r="794" spans="1:5">
      <c r="A794" s="5"/>
      <c r="D794" s="5"/>
      <c r="E794" s="5"/>
    </row>
    <row r="795" spans="1:5">
      <c r="A795" s="5"/>
      <c r="D795" s="5"/>
      <c r="E795" s="5"/>
    </row>
    <row r="796" spans="1:5">
      <c r="A796" s="5"/>
      <c r="D796" s="5"/>
      <c r="E796" s="5"/>
    </row>
    <row r="797" spans="1:5">
      <c r="A797" s="5"/>
      <c r="D797" s="5"/>
      <c r="E797" s="5"/>
    </row>
    <row r="798" spans="1:5">
      <c r="A798" s="5"/>
      <c r="D798" s="5"/>
      <c r="E798" s="5"/>
    </row>
    <row r="799" spans="1:5">
      <c r="A799" s="5"/>
      <c r="D799" s="5"/>
      <c r="E799" s="5"/>
    </row>
    <row r="800" spans="1:5">
      <c r="A800" s="5"/>
      <c r="D800" s="5"/>
      <c r="E800" s="5"/>
    </row>
    <row r="801" spans="1:5">
      <c r="A801" s="5"/>
      <c r="D801" s="5"/>
      <c r="E801" s="5"/>
    </row>
    <row r="802" spans="1:5">
      <c r="A802" s="5"/>
      <c r="D802" s="5"/>
      <c r="E802" s="5"/>
    </row>
    <row r="803" spans="1:5">
      <c r="A803" s="5"/>
      <c r="D803" s="5"/>
      <c r="E803" s="5"/>
    </row>
    <row r="804" spans="1:5">
      <c r="A804" s="5"/>
      <c r="D804" s="5"/>
      <c r="E804" s="5"/>
    </row>
    <row r="805" spans="1:5">
      <c r="A805" s="5"/>
      <c r="D805" s="5"/>
      <c r="E805" s="5"/>
    </row>
    <row r="806" spans="1:5">
      <c r="A806" s="5"/>
      <c r="D806" s="5"/>
      <c r="E806" s="5"/>
    </row>
    <row r="807" spans="1:5">
      <c r="A807" s="5"/>
      <c r="D807" s="5"/>
      <c r="E807" s="5"/>
    </row>
    <row r="808" spans="1:5">
      <c r="A808" s="5"/>
      <c r="D808" s="5"/>
      <c r="E808" s="5"/>
    </row>
    <row r="809" spans="1:5">
      <c r="A809" s="5"/>
      <c r="D809" s="5"/>
      <c r="E809" s="5"/>
    </row>
    <row r="810" spans="1:5">
      <c r="A810" s="5"/>
      <c r="D810" s="5"/>
      <c r="E810" s="5"/>
    </row>
    <row r="811" spans="1:5">
      <c r="A811" s="5"/>
      <c r="D811" s="5"/>
      <c r="E811" s="5"/>
    </row>
    <row r="812" spans="1:5">
      <c r="A812" s="5"/>
      <c r="D812" s="5"/>
      <c r="E812" s="5"/>
    </row>
    <row r="813" spans="1:5">
      <c r="A813" s="5"/>
      <c r="D813" s="5"/>
      <c r="E813" s="5"/>
    </row>
    <row r="814" spans="1:5">
      <c r="A814" s="5"/>
      <c r="D814" s="5"/>
      <c r="E814" s="5"/>
    </row>
    <row r="815" spans="1:5">
      <c r="A815" s="5"/>
      <c r="D815" s="5"/>
      <c r="E815" s="5"/>
    </row>
    <row r="816" spans="1:5">
      <c r="A816" s="5"/>
      <c r="D816" s="5"/>
      <c r="E816" s="5"/>
    </row>
    <row r="817" spans="1:5">
      <c r="A817" s="5"/>
      <c r="D817" s="5"/>
      <c r="E817" s="5"/>
    </row>
    <row r="818" spans="1:5">
      <c r="A818" s="5"/>
      <c r="D818" s="5"/>
      <c r="E818" s="5"/>
    </row>
    <row r="819" spans="1:5">
      <c r="A819" s="5"/>
      <c r="D819" s="5"/>
      <c r="E819" s="5"/>
    </row>
    <row r="820" spans="1:5">
      <c r="A820" s="5"/>
      <c r="D820" s="5"/>
      <c r="E820" s="5"/>
    </row>
    <row r="821" spans="1:5">
      <c r="A821" s="5"/>
      <c r="D821" s="5"/>
      <c r="E821" s="5"/>
    </row>
    <row r="822" spans="1:5">
      <c r="A822" s="5"/>
      <c r="D822" s="5"/>
      <c r="E822" s="5"/>
    </row>
    <row r="823" spans="1:5">
      <c r="A823" s="5"/>
      <c r="D823" s="5"/>
      <c r="E823" s="5"/>
    </row>
    <row r="824" spans="1:5">
      <c r="A824" s="5"/>
      <c r="D824" s="5"/>
      <c r="E824" s="5"/>
    </row>
    <row r="825" spans="1:5">
      <c r="A825" s="5"/>
      <c r="D825" s="5"/>
      <c r="E825" s="5"/>
    </row>
    <row r="826" spans="1:5">
      <c r="A826" s="5"/>
      <c r="D826" s="5"/>
      <c r="E826" s="5"/>
    </row>
    <row r="827" spans="1:5">
      <c r="A827" s="5"/>
      <c r="D827" s="5"/>
      <c r="E827" s="5"/>
    </row>
    <row r="828" spans="1:5">
      <c r="A828" s="5"/>
      <c r="D828" s="5"/>
      <c r="E828" s="5"/>
    </row>
    <row r="829" spans="1:5">
      <c r="A829" s="5"/>
      <c r="D829" s="5"/>
      <c r="E829" s="5"/>
    </row>
    <row r="830" spans="1:5">
      <c r="A830" s="5"/>
      <c r="D830" s="5"/>
      <c r="E830" s="5"/>
    </row>
    <row r="831" spans="1:5">
      <c r="A831" s="5"/>
      <c r="D831" s="5"/>
      <c r="E831" s="5"/>
    </row>
    <row r="832" spans="1:5">
      <c r="A832" s="5"/>
      <c r="D832" s="5"/>
      <c r="E832" s="5"/>
    </row>
    <row r="833" spans="1:5">
      <c r="A833" s="5"/>
      <c r="D833" s="5"/>
      <c r="E833" s="5"/>
    </row>
    <row r="834" spans="1:5">
      <c r="A834" s="5"/>
      <c r="D834" s="5"/>
      <c r="E834" s="5"/>
    </row>
    <row r="835" spans="1:5">
      <c r="A835" s="5"/>
      <c r="D835" s="5"/>
      <c r="E835" s="5"/>
    </row>
    <row r="836" spans="1:5">
      <c r="A836" s="5"/>
      <c r="D836" s="5"/>
      <c r="E836" s="5"/>
    </row>
    <row r="837" spans="1:5">
      <c r="A837" s="5"/>
      <c r="D837" s="5"/>
      <c r="E837" s="5"/>
    </row>
    <row r="838" spans="1:5">
      <c r="A838" s="5"/>
      <c r="D838" s="5"/>
      <c r="E838" s="5"/>
    </row>
    <row r="839" spans="1:5">
      <c r="A839" s="5"/>
      <c r="D839" s="5"/>
      <c r="E839" s="5"/>
    </row>
    <row r="840" spans="1:5">
      <c r="A840" s="5"/>
      <c r="D840" s="5"/>
      <c r="E840" s="5"/>
    </row>
    <row r="841" spans="1:5">
      <c r="A841" s="5"/>
      <c r="D841" s="5"/>
      <c r="E841" s="5"/>
    </row>
    <row r="842" spans="1:5">
      <c r="A842" s="5"/>
      <c r="D842" s="5"/>
      <c r="E842" s="5"/>
    </row>
    <row r="843" spans="1:5">
      <c r="A843" s="5"/>
      <c r="D843" s="5"/>
      <c r="E843" s="5"/>
    </row>
    <row r="844" spans="1:5">
      <c r="A844" s="5"/>
      <c r="D844" s="5"/>
      <c r="E844" s="5"/>
    </row>
    <row r="845" spans="1:5">
      <c r="A845" s="5"/>
      <c r="D845" s="5"/>
      <c r="E845" s="5"/>
    </row>
    <row r="846" spans="1:5">
      <c r="A846" s="5"/>
      <c r="D846" s="5"/>
      <c r="E846" s="5"/>
    </row>
    <row r="847" spans="1:5">
      <c r="A847" s="5"/>
      <c r="D847" s="5"/>
      <c r="E847" s="5"/>
    </row>
    <row r="848" spans="1:5">
      <c r="A848" s="5"/>
      <c r="D848" s="5"/>
      <c r="E848" s="5"/>
    </row>
    <row r="849" spans="1:5">
      <c r="A849" s="5"/>
      <c r="D849" s="5"/>
      <c r="E849" s="5"/>
    </row>
    <row r="850" spans="1:5">
      <c r="A850" s="5"/>
      <c r="D850" s="5"/>
      <c r="E850" s="5"/>
    </row>
    <row r="851" spans="1:5">
      <c r="A851" s="5"/>
      <c r="D851" s="5"/>
      <c r="E851" s="5"/>
    </row>
    <row r="852" spans="1:5">
      <c r="A852" s="5"/>
      <c r="D852" s="5"/>
      <c r="E852" s="5"/>
    </row>
    <row r="853" spans="1:5">
      <c r="A853" s="5"/>
      <c r="D853" s="5"/>
      <c r="E853" s="5"/>
    </row>
    <row r="854" spans="1:5">
      <c r="A854" s="5"/>
      <c r="D854" s="5"/>
      <c r="E854" s="5"/>
    </row>
    <row r="855" spans="1:5">
      <c r="A855" s="5"/>
      <c r="D855" s="5"/>
      <c r="E855" s="5"/>
    </row>
    <row r="856" spans="1:5">
      <c r="A856" s="5"/>
      <c r="D856" s="5"/>
      <c r="E856" s="5"/>
    </row>
    <row r="857" spans="1:5">
      <c r="A857" s="5"/>
      <c r="D857" s="5"/>
      <c r="E857" s="5"/>
    </row>
    <row r="858" spans="1:5">
      <c r="A858" s="5"/>
      <c r="D858" s="5"/>
      <c r="E858" s="5"/>
    </row>
    <row r="859" spans="1:5">
      <c r="A859" s="5"/>
      <c r="D859" s="5"/>
      <c r="E859" s="5"/>
    </row>
    <row r="860" spans="1:5">
      <c r="A860" s="5"/>
      <c r="D860" s="5"/>
      <c r="E860" s="5"/>
    </row>
    <row r="861" spans="1:5">
      <c r="A861" s="5"/>
      <c r="D861" s="5"/>
      <c r="E861" s="5"/>
    </row>
    <row r="862" spans="1:5">
      <c r="A862" s="5"/>
      <c r="D862" s="5"/>
      <c r="E862" s="5"/>
    </row>
    <row r="863" spans="1:5">
      <c r="A863" s="5"/>
      <c r="D863" s="5"/>
      <c r="E863" s="5"/>
    </row>
    <row r="864" spans="1:5">
      <c r="A864" s="5"/>
      <c r="D864" s="5"/>
      <c r="E864" s="5"/>
    </row>
    <row r="865" spans="1:5">
      <c r="A865" s="5"/>
      <c r="D865" s="5"/>
      <c r="E865" s="5"/>
    </row>
    <row r="866" spans="1:5">
      <c r="A866" s="5"/>
      <c r="D866" s="5"/>
      <c r="E866" s="5"/>
    </row>
    <row r="867" spans="1:5">
      <c r="A867" s="5"/>
      <c r="D867" s="5"/>
      <c r="E867" s="5"/>
    </row>
    <row r="868" spans="1:5">
      <c r="A868" s="5"/>
      <c r="D868" s="5"/>
      <c r="E868" s="5"/>
    </row>
    <row r="869" spans="1:5">
      <c r="A869" s="5"/>
      <c r="D869" s="5"/>
      <c r="E869" s="5"/>
    </row>
    <row r="870" spans="1:5">
      <c r="A870" s="5"/>
      <c r="D870" s="5"/>
      <c r="E870" s="5"/>
    </row>
    <row r="871" spans="1:5">
      <c r="A871" s="5"/>
      <c r="D871" s="5"/>
      <c r="E871" s="5"/>
    </row>
    <row r="872" spans="1:5">
      <c r="A872" s="5"/>
      <c r="D872" s="5"/>
      <c r="E872" s="5"/>
    </row>
    <row r="873" spans="1:5">
      <c r="A873" s="5"/>
      <c r="D873" s="5"/>
      <c r="E873" s="5"/>
    </row>
    <row r="874" spans="1:5">
      <c r="A874" s="5"/>
      <c r="D874" s="5"/>
      <c r="E874" s="5"/>
    </row>
    <row r="875" spans="1:5">
      <c r="A875" s="5"/>
      <c r="D875" s="5"/>
      <c r="E875" s="5"/>
    </row>
    <row r="876" spans="1:5">
      <c r="A876" s="5"/>
      <c r="D876" s="5"/>
      <c r="E876" s="5"/>
    </row>
    <row r="877" spans="1:5">
      <c r="A877" s="5"/>
      <c r="D877" s="5"/>
      <c r="E877" s="5"/>
    </row>
    <row r="878" spans="1:5">
      <c r="A878" s="5"/>
      <c r="D878" s="5"/>
      <c r="E878" s="5"/>
    </row>
    <row r="879" spans="1:5">
      <c r="A879" s="5"/>
      <c r="D879" s="5"/>
      <c r="E879" s="5"/>
    </row>
    <row r="880" spans="1:5">
      <c r="A880" s="5"/>
      <c r="D880" s="5"/>
      <c r="E880" s="5"/>
    </row>
    <row r="881" spans="1:5">
      <c r="A881" s="5"/>
      <c r="D881" s="5"/>
      <c r="E881" s="5"/>
    </row>
    <row r="882" spans="1:5">
      <c r="A882" s="5"/>
      <c r="D882" s="5"/>
      <c r="E882" s="5"/>
    </row>
    <row r="883" spans="1:5">
      <c r="A883" s="5"/>
      <c r="D883" s="5"/>
      <c r="E883" s="5"/>
    </row>
    <row r="884" spans="1:5">
      <c r="A884" s="5"/>
      <c r="D884" s="5"/>
      <c r="E884" s="5"/>
    </row>
    <row r="885" spans="1:5">
      <c r="A885" s="5"/>
      <c r="D885" s="5"/>
      <c r="E885" s="5"/>
    </row>
    <row r="886" spans="1:5">
      <c r="A886" s="5"/>
      <c r="D886" s="5"/>
      <c r="E886" s="5"/>
    </row>
    <row r="887" spans="1:5">
      <c r="A887" s="5"/>
      <c r="D887" s="5"/>
      <c r="E887" s="5"/>
    </row>
    <row r="888" spans="1:5">
      <c r="A888" s="5"/>
      <c r="D888" s="5"/>
      <c r="E888" s="5"/>
    </row>
    <row r="889" spans="1:5">
      <c r="A889" s="5"/>
      <c r="D889" s="5"/>
      <c r="E889" s="5"/>
    </row>
    <row r="890" spans="1:5">
      <c r="A890" s="5"/>
      <c r="D890" s="5"/>
      <c r="E890" s="5"/>
    </row>
    <row r="891" spans="1:5">
      <c r="A891" s="5"/>
      <c r="D891" s="5"/>
      <c r="E891" s="5"/>
    </row>
    <row r="892" spans="1:5">
      <c r="A892" s="5"/>
      <c r="D892" s="5"/>
      <c r="E892" s="5"/>
    </row>
    <row r="893" spans="1:5">
      <c r="A893" s="5"/>
      <c r="D893" s="5"/>
      <c r="E893" s="5"/>
    </row>
    <row r="894" spans="1:5">
      <c r="A894" s="5"/>
      <c r="D894" s="5"/>
      <c r="E894" s="5"/>
    </row>
    <row r="895" spans="1:5">
      <c r="A895" s="5"/>
      <c r="D895" s="5"/>
      <c r="E895" s="5"/>
    </row>
    <row r="896" spans="1:5">
      <c r="A896" s="5"/>
      <c r="D896" s="5"/>
      <c r="E896" s="5"/>
    </row>
    <row r="897" spans="1:5">
      <c r="A897" s="5"/>
      <c r="D897" s="5"/>
      <c r="E897" s="5"/>
    </row>
    <row r="898" spans="1:5">
      <c r="A898" s="5"/>
      <c r="D898" s="5"/>
      <c r="E898" s="5"/>
    </row>
    <row r="899" spans="1:5">
      <c r="A899" s="5"/>
      <c r="D899" s="5"/>
      <c r="E899" s="5"/>
    </row>
    <row r="900" spans="1:5">
      <c r="A900" s="5"/>
      <c r="D900" s="5"/>
      <c r="E900" s="5"/>
    </row>
    <row r="901" spans="1:5">
      <c r="A901" s="5"/>
      <c r="D901" s="5"/>
      <c r="E901" s="5"/>
    </row>
    <row r="902" spans="1:5">
      <c r="A902" s="5"/>
      <c r="D902" s="5"/>
      <c r="E902" s="5"/>
    </row>
    <row r="903" spans="1:5">
      <c r="A903" s="5"/>
      <c r="D903" s="5"/>
      <c r="E903" s="5"/>
    </row>
    <row r="904" spans="1:5">
      <c r="A904" s="5"/>
      <c r="D904" s="5"/>
      <c r="E904" s="5"/>
    </row>
    <row r="905" spans="1:5">
      <c r="A905" s="5"/>
      <c r="D905" s="5"/>
      <c r="E905" s="5"/>
    </row>
    <row r="906" spans="1:5">
      <c r="A906" s="5"/>
      <c r="D906" s="5"/>
      <c r="E906" s="5"/>
    </row>
    <row r="907" spans="1:5">
      <c r="A907" s="5"/>
      <c r="D907" s="5"/>
      <c r="E907" s="5"/>
    </row>
    <row r="908" spans="1:5">
      <c r="A908" s="5"/>
      <c r="D908" s="5"/>
      <c r="E908" s="5"/>
    </row>
    <row r="909" spans="1:5">
      <c r="A909" s="5"/>
      <c r="D909" s="5"/>
      <c r="E909" s="5"/>
    </row>
    <row r="910" spans="1:5">
      <c r="A910" s="5"/>
      <c r="D910" s="5"/>
      <c r="E910" s="5"/>
    </row>
    <row r="911" spans="1:5">
      <c r="A911" s="5"/>
      <c r="D911" s="5"/>
      <c r="E911" s="5"/>
    </row>
    <row r="912" spans="1:5">
      <c r="A912" s="5"/>
      <c r="D912" s="5"/>
      <c r="E912" s="5"/>
    </row>
    <row r="913" spans="1:5">
      <c r="A913" s="5"/>
      <c r="D913" s="5"/>
      <c r="E913" s="5"/>
    </row>
    <row r="914" spans="1:5">
      <c r="A914" s="5"/>
      <c r="D914" s="5"/>
      <c r="E914" s="5"/>
    </row>
    <row r="915" spans="1:5">
      <c r="A915" s="5"/>
      <c r="D915" s="5"/>
      <c r="E915" s="5"/>
    </row>
    <row r="916" spans="1:5">
      <c r="A916" s="5"/>
      <c r="D916" s="5"/>
      <c r="E916" s="5"/>
    </row>
    <row r="917" spans="1:5">
      <c r="A917" s="5"/>
      <c r="D917" s="5"/>
      <c r="E917" s="5"/>
    </row>
    <row r="918" spans="1:5">
      <c r="A918" s="5"/>
      <c r="D918" s="5"/>
      <c r="E918" s="5"/>
    </row>
    <row r="919" spans="1:5">
      <c r="A919" s="5"/>
      <c r="D919" s="5"/>
      <c r="E919" s="5"/>
    </row>
    <row r="920" spans="1:5">
      <c r="A920" s="5"/>
      <c r="D920" s="5"/>
      <c r="E920" s="5"/>
    </row>
    <row r="921" spans="1:5">
      <c r="A921" s="5"/>
      <c r="D921" s="5"/>
      <c r="E921" s="5"/>
    </row>
    <row r="922" spans="1:5">
      <c r="A922" s="5"/>
      <c r="D922" s="5"/>
      <c r="E922" s="5"/>
    </row>
    <row r="923" spans="1:5">
      <c r="A923" s="5"/>
      <c r="D923" s="5"/>
      <c r="E923" s="5"/>
    </row>
    <row r="924" spans="1:5">
      <c r="A924" s="5"/>
      <c r="D924" s="5"/>
      <c r="E924" s="5"/>
    </row>
    <row r="925" spans="1:5">
      <c r="A925" s="5"/>
      <c r="D925" s="5"/>
      <c r="E925" s="5"/>
    </row>
    <row r="926" spans="1:5">
      <c r="A926" s="5"/>
      <c r="D926" s="5"/>
      <c r="E926" s="5"/>
    </row>
    <row r="927" spans="1:5">
      <c r="A927" s="5"/>
      <c r="D927" s="5"/>
      <c r="E927" s="5"/>
    </row>
    <row r="928" spans="1:5">
      <c r="A928" s="5"/>
      <c r="D928" s="5"/>
      <c r="E928" s="5"/>
    </row>
    <row r="929" spans="1:5">
      <c r="A929" s="5"/>
      <c r="D929" s="5"/>
      <c r="E929" s="5"/>
    </row>
    <row r="930" spans="1:5">
      <c r="A930" s="5"/>
      <c r="D930" s="5"/>
      <c r="E930" s="5"/>
    </row>
    <row r="931" spans="1:5">
      <c r="A931" s="5"/>
      <c r="D931" s="5"/>
      <c r="E931" s="5"/>
    </row>
    <row r="932" spans="1:5">
      <c r="A932" s="5"/>
      <c r="D932" s="5"/>
      <c r="E932" s="5"/>
    </row>
    <row r="933" spans="1:5">
      <c r="A933" s="5"/>
      <c r="D933" s="5"/>
      <c r="E933" s="5"/>
    </row>
    <row r="934" spans="1:5">
      <c r="A934" s="5"/>
      <c r="D934" s="5"/>
      <c r="E934" s="5"/>
    </row>
    <row r="935" spans="1:5">
      <c r="A935" s="5"/>
      <c r="D935" s="5"/>
      <c r="E935" s="5"/>
    </row>
    <row r="936" spans="1:5">
      <c r="A936" s="5"/>
      <c r="D936" s="5"/>
      <c r="E936" s="5"/>
    </row>
    <row r="937" spans="1:5">
      <c r="A937" s="5"/>
      <c r="D937" s="5"/>
      <c r="E937" s="5"/>
    </row>
    <row r="938" spans="1:5">
      <c r="A938" s="5"/>
      <c r="D938" s="5"/>
      <c r="E938" s="5"/>
    </row>
    <row r="939" spans="1:5">
      <c r="A939" s="5"/>
      <c r="D939" s="5"/>
      <c r="E939" s="5"/>
    </row>
    <row r="940" spans="1:5">
      <c r="A940" s="5"/>
      <c r="D940" s="5"/>
      <c r="E940" s="5"/>
    </row>
    <row r="941" spans="1:5">
      <c r="A941" s="5"/>
      <c r="D941" s="5"/>
      <c r="E941" s="5"/>
    </row>
    <row r="942" spans="1:5">
      <c r="A942" s="5"/>
      <c r="D942" s="5"/>
      <c r="E942" s="5"/>
    </row>
    <row r="943" spans="1:5">
      <c r="A943" s="5"/>
      <c r="D943" s="5"/>
      <c r="E943" s="5"/>
    </row>
    <row r="944" spans="1:5">
      <c r="A944" s="5"/>
      <c r="D944" s="5"/>
      <c r="E944" s="5"/>
    </row>
    <row r="945" spans="1:5">
      <c r="A945" s="5"/>
      <c r="D945" s="5"/>
      <c r="E945" s="5"/>
    </row>
    <row r="946" spans="1:5">
      <c r="A946" s="5"/>
      <c r="D946" s="5"/>
      <c r="E946" s="5"/>
    </row>
    <row r="947" spans="1:5">
      <c r="A947" s="5"/>
      <c r="D947" s="5"/>
      <c r="E947" s="5"/>
    </row>
    <row r="948" spans="1:5">
      <c r="A948" s="5"/>
      <c r="D948" s="5"/>
      <c r="E948" s="5"/>
    </row>
    <row r="949" spans="1:5">
      <c r="A949" s="5"/>
      <c r="D949" s="5"/>
      <c r="E949" s="5"/>
    </row>
    <row r="950" spans="1:5">
      <c r="A950" s="5"/>
      <c r="D950" s="5"/>
      <c r="E950" s="5"/>
    </row>
    <row r="951" spans="1:5">
      <c r="A951" s="5"/>
      <c r="D951" s="5"/>
      <c r="E951" s="5"/>
    </row>
    <row r="952" spans="1:5">
      <c r="A952" s="5"/>
      <c r="D952" s="5"/>
      <c r="E952" s="5"/>
    </row>
    <row r="953" spans="1:5">
      <c r="A953" s="5"/>
      <c r="D953" s="5"/>
      <c r="E953" s="5"/>
    </row>
    <row r="954" spans="1:5">
      <c r="A954" s="5"/>
      <c r="D954" s="5"/>
      <c r="E954" s="5"/>
    </row>
    <row r="955" spans="1:5">
      <c r="A955" s="5"/>
      <c r="D955" s="5"/>
      <c r="E955" s="5"/>
    </row>
    <row r="956" spans="1:5">
      <c r="A956" s="5"/>
      <c r="D956" s="5"/>
      <c r="E956" s="5"/>
    </row>
    <row r="957" spans="1:5">
      <c r="A957" s="5"/>
      <c r="D957" s="5"/>
      <c r="E957" s="5"/>
    </row>
    <row r="958" spans="1:5">
      <c r="A958" s="5"/>
      <c r="D958" s="5"/>
      <c r="E958" s="5"/>
    </row>
    <row r="959" spans="1:5">
      <c r="A959" s="5"/>
      <c r="D959" s="5"/>
      <c r="E959" s="5"/>
    </row>
    <row r="960" spans="1:5">
      <c r="A960" s="5"/>
      <c r="D960" s="5"/>
      <c r="E960" s="5"/>
    </row>
    <row r="961" spans="1:5">
      <c r="A961" s="5"/>
      <c r="D961" s="5"/>
      <c r="E961" s="5"/>
    </row>
    <row r="962" spans="1:5">
      <c r="A962" s="5"/>
      <c r="D962" s="5"/>
      <c r="E962" s="5"/>
    </row>
    <row r="963" spans="1:5">
      <c r="A963" s="5"/>
      <c r="D963" s="5"/>
      <c r="E963" s="5"/>
    </row>
    <row r="964" spans="1:5">
      <c r="A964" s="5"/>
      <c r="D964" s="5"/>
      <c r="E964" s="5"/>
    </row>
    <row r="965" spans="1:5">
      <c r="A965" s="5"/>
      <c r="D965" s="5"/>
      <c r="E965" s="5"/>
    </row>
    <row r="966" spans="1:5">
      <c r="A966" s="5"/>
      <c r="D966" s="5"/>
      <c r="E966" s="5"/>
    </row>
    <row r="967" spans="1:5">
      <c r="A967" s="5"/>
      <c r="D967" s="5"/>
      <c r="E967" s="5"/>
    </row>
    <row r="968" spans="1:5">
      <c r="A968" s="5"/>
      <c r="D968" s="5"/>
      <c r="E968" s="5"/>
    </row>
    <row r="969" spans="1:5">
      <c r="A969" s="5"/>
      <c r="D969" s="5"/>
      <c r="E969" s="5"/>
    </row>
    <row r="970" spans="1:5">
      <c r="A970" s="5"/>
      <c r="D970" s="5"/>
      <c r="E970" s="5"/>
    </row>
    <row r="971" spans="1:5">
      <c r="A971" s="5"/>
      <c r="D971" s="5"/>
      <c r="E971" s="5"/>
    </row>
    <row r="972" spans="1:5">
      <c r="A972" s="5"/>
      <c r="D972" s="5"/>
      <c r="E972" s="5"/>
    </row>
    <row r="973" spans="1:5">
      <c r="A973" s="5"/>
      <c r="D973" s="5"/>
      <c r="E973" s="5"/>
    </row>
    <row r="974" spans="1:5">
      <c r="A974" s="5"/>
      <c r="D974" s="5"/>
      <c r="E974" s="5"/>
    </row>
    <row r="975" spans="1:5">
      <c r="A975" s="5"/>
      <c r="D975" s="5"/>
      <c r="E975" s="5"/>
    </row>
    <row r="976" spans="1:5">
      <c r="A976" s="5"/>
      <c r="D976" s="5"/>
      <c r="E976" s="5"/>
    </row>
    <row r="977" spans="1:5">
      <c r="A977" s="5"/>
      <c r="D977" s="5"/>
      <c r="E977" s="5"/>
    </row>
    <row r="978" spans="1:5">
      <c r="A978" s="5"/>
      <c r="D978" s="5"/>
      <c r="E978" s="5"/>
    </row>
    <row r="979" spans="1:5">
      <c r="A979" s="5"/>
      <c r="D979" s="5"/>
      <c r="E979" s="5"/>
    </row>
    <row r="980" spans="1:5">
      <c r="A980" s="5"/>
      <c r="D980" s="5"/>
      <c r="E980" s="5"/>
    </row>
    <row r="981" spans="1:5">
      <c r="A981" s="5"/>
      <c r="D981" s="5"/>
      <c r="E981" s="5"/>
    </row>
    <row r="982" spans="1:5">
      <c r="A982" s="5"/>
      <c r="D982" s="5"/>
      <c r="E982" s="5"/>
    </row>
    <row r="983" spans="1:5">
      <c r="A983" s="5"/>
      <c r="D983" s="5"/>
      <c r="E983" s="5"/>
    </row>
    <row r="984" spans="1:5">
      <c r="A984" s="5"/>
      <c r="D984" s="5"/>
      <c r="E984" s="5"/>
    </row>
    <row r="985" spans="1:5">
      <c r="A985" s="5"/>
      <c r="D985" s="5"/>
      <c r="E985" s="5"/>
    </row>
    <row r="986" spans="1:5">
      <c r="A986" s="5"/>
      <c r="D986" s="5"/>
      <c r="E986" s="5"/>
    </row>
    <row r="987" spans="1:5">
      <c r="A987" s="5"/>
      <c r="D987" s="5"/>
      <c r="E987" s="5"/>
    </row>
    <row r="988" spans="1:5">
      <c r="A988" s="5"/>
      <c r="D988" s="5"/>
      <c r="E988" s="5"/>
    </row>
    <row r="989" spans="1:5">
      <c r="A989" s="5"/>
      <c r="D989" s="5"/>
      <c r="E989" s="5"/>
    </row>
    <row r="990" spans="1:5">
      <c r="A990" s="5"/>
      <c r="D990" s="5"/>
      <c r="E990" s="5"/>
    </row>
    <row r="991" spans="1:5">
      <c r="A991" s="5"/>
      <c r="D991" s="5"/>
      <c r="E991" s="5"/>
    </row>
    <row r="992" spans="1:5">
      <c r="A992" s="5"/>
      <c r="D992" s="5"/>
      <c r="E992" s="5"/>
    </row>
    <row r="993" spans="1:5">
      <c r="A993" s="5"/>
      <c r="D993" s="5"/>
      <c r="E993" s="5"/>
    </row>
    <row r="994" spans="1:5">
      <c r="A994" s="5"/>
      <c r="D994" s="5"/>
      <c r="E994" s="5"/>
    </row>
    <row r="995" spans="1:5">
      <c r="A995" s="5"/>
      <c r="D995" s="5"/>
      <c r="E995" s="5"/>
    </row>
    <row r="996" spans="1:5">
      <c r="A996" s="5"/>
      <c r="D996" s="5"/>
      <c r="E996" s="5"/>
    </row>
    <row r="997" spans="1:5">
      <c r="A997" s="5"/>
      <c r="D997" s="5"/>
      <c r="E997" s="5"/>
    </row>
    <row r="998" spans="1:5">
      <c r="A998" s="5"/>
      <c r="D998" s="5"/>
      <c r="E998" s="5"/>
    </row>
    <row r="999" spans="1:5">
      <c r="A999" s="5"/>
      <c r="D999" s="5"/>
      <c r="E999" s="5"/>
    </row>
    <row r="1000" spans="1:5">
      <c r="A1000" s="5"/>
      <c r="D1000" s="5"/>
      <c r="E1000" s="5"/>
    </row>
  </sheetData>
  <mergeCells count="2">
    <mergeCell ref="D1:E1"/>
    <mergeCell ref="F1:G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5"/>
  <sheetViews>
    <sheetView workbookViewId="0"/>
  </sheetViews>
  <sheetFormatPr defaultColWidth="12.5703125" defaultRowHeight="15" customHeight="1"/>
  <cols>
    <col min="1" max="1" width="3.42578125" customWidth="1"/>
    <col min="2" max="2" width="36" customWidth="1"/>
    <col min="3" max="3" width="29.28515625" customWidth="1"/>
  </cols>
  <sheetData>
    <row r="1" spans="1:3">
      <c r="A1" s="3" t="s">
        <v>9</v>
      </c>
      <c r="B1" s="8" t="s">
        <v>92</v>
      </c>
      <c r="C1" s="8" t="s">
        <v>95</v>
      </c>
    </row>
    <row r="2" spans="1:3">
      <c r="A2" s="3">
        <v>1</v>
      </c>
      <c r="B2" s="10" t="s">
        <v>96</v>
      </c>
      <c r="C2" s="3" t="s">
        <v>98</v>
      </c>
    </row>
    <row r="3" spans="1:3">
      <c r="A3" s="3">
        <v>2</v>
      </c>
      <c r="B3" s="10" t="s">
        <v>99</v>
      </c>
      <c r="C3" s="3" t="s">
        <v>98</v>
      </c>
    </row>
    <row r="4" spans="1:3">
      <c r="A4" s="3">
        <v>3</v>
      </c>
      <c r="B4" s="10" t="s">
        <v>100</v>
      </c>
      <c r="C4" s="3" t="s">
        <v>98</v>
      </c>
    </row>
    <row r="5" spans="1:3">
      <c r="A5" s="3">
        <v>4</v>
      </c>
      <c r="B5" s="10" t="s">
        <v>101</v>
      </c>
      <c r="C5" s="3" t="s">
        <v>102</v>
      </c>
    </row>
    <row r="6" spans="1:3">
      <c r="A6" s="3">
        <v>5</v>
      </c>
      <c r="B6" s="10" t="s">
        <v>103</v>
      </c>
      <c r="C6" s="3" t="s">
        <v>102</v>
      </c>
    </row>
    <row r="7" spans="1:3">
      <c r="A7" s="3">
        <v>6</v>
      </c>
      <c r="B7" s="10" t="s">
        <v>104</v>
      </c>
      <c r="C7" s="3"/>
    </row>
    <row r="8" spans="1:3">
      <c r="A8" s="3">
        <v>7</v>
      </c>
      <c r="B8" s="10" t="s">
        <v>105</v>
      </c>
    </row>
    <row r="9" spans="1:3">
      <c r="A9" s="3">
        <v>8</v>
      </c>
      <c r="B9" s="10" t="s">
        <v>106</v>
      </c>
    </row>
    <row r="10" spans="1:3">
      <c r="A10" s="3">
        <v>9</v>
      </c>
      <c r="B10" s="10" t="s">
        <v>107</v>
      </c>
    </row>
    <row r="11" spans="1:3">
      <c r="A11" s="3">
        <v>10</v>
      </c>
      <c r="B11" s="10" t="s">
        <v>109</v>
      </c>
    </row>
    <row r="12" spans="1:3">
      <c r="A12" s="3">
        <v>11</v>
      </c>
      <c r="B12" s="10" t="s">
        <v>110</v>
      </c>
    </row>
    <row r="13" spans="1:3">
      <c r="A13" s="3">
        <v>12</v>
      </c>
      <c r="B13" s="10" t="s">
        <v>111</v>
      </c>
    </row>
    <row r="14" spans="1:3">
      <c r="A14" s="3">
        <v>13</v>
      </c>
      <c r="B14" s="10" t="s">
        <v>112</v>
      </c>
    </row>
    <row r="15" spans="1:3">
      <c r="A15" s="3">
        <v>14</v>
      </c>
      <c r="B15" s="10" t="s">
        <v>113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70"/>
  <sheetViews>
    <sheetView workbookViewId="0"/>
  </sheetViews>
  <sheetFormatPr defaultColWidth="12.5703125" defaultRowHeight="15" customHeight="1"/>
  <cols>
    <col min="1" max="1" width="5.42578125" customWidth="1"/>
    <col min="2" max="2" width="30.7109375" customWidth="1"/>
    <col min="3" max="3" width="27.5703125" customWidth="1"/>
  </cols>
  <sheetData>
    <row r="1" spans="1:4">
      <c r="A1" s="3"/>
      <c r="B1" s="3" t="s">
        <v>134</v>
      </c>
      <c r="C1" s="3" t="s">
        <v>135</v>
      </c>
      <c r="D1" s="19" t="str">
        <f>HYPERLINK("#rangeid=868851295","Course Name")</f>
        <v>Course Name</v>
      </c>
    </row>
    <row r="2" spans="1:4">
      <c r="A2" s="3">
        <v>1</v>
      </c>
      <c r="B2" s="3" t="s">
        <v>136</v>
      </c>
    </row>
    <row r="3" spans="1:4">
      <c r="A3" s="3">
        <v>2</v>
      </c>
      <c r="B3" s="3" t="s">
        <v>137</v>
      </c>
    </row>
    <row r="4" spans="1:4">
      <c r="A4" s="3">
        <v>3</v>
      </c>
      <c r="B4" s="3" t="s">
        <v>138</v>
      </c>
    </row>
    <row r="5" spans="1:4">
      <c r="A5" s="3">
        <v>4</v>
      </c>
      <c r="B5" s="3" t="s">
        <v>139</v>
      </c>
    </row>
    <row r="6" spans="1:4">
      <c r="A6" s="3">
        <v>5</v>
      </c>
      <c r="B6" s="3" t="s">
        <v>140</v>
      </c>
    </row>
    <row r="7" spans="1:4">
      <c r="A7" s="3">
        <v>6</v>
      </c>
      <c r="B7" s="3" t="s">
        <v>141</v>
      </c>
    </row>
    <row r="8" spans="1:4">
      <c r="A8" s="3">
        <v>7</v>
      </c>
      <c r="B8" s="3" t="s">
        <v>142</v>
      </c>
    </row>
    <row r="9" spans="1:4">
      <c r="A9" s="3">
        <v>8</v>
      </c>
      <c r="B9" s="3" t="s">
        <v>143</v>
      </c>
    </row>
    <row r="10" spans="1:4">
      <c r="A10" s="3">
        <v>9</v>
      </c>
      <c r="B10" s="3" t="s">
        <v>144</v>
      </c>
    </row>
    <row r="11" spans="1:4">
      <c r="A11" s="3">
        <v>10</v>
      </c>
      <c r="B11" s="3" t="s">
        <v>145</v>
      </c>
    </row>
    <row r="12" spans="1:4">
      <c r="A12" s="3">
        <v>11</v>
      </c>
      <c r="B12" s="3" t="s">
        <v>103</v>
      </c>
    </row>
    <row r="13" spans="1:4">
      <c r="A13" s="3">
        <v>12</v>
      </c>
      <c r="B13" s="3" t="s">
        <v>146</v>
      </c>
    </row>
    <row r="14" spans="1:4">
      <c r="A14" s="3">
        <v>13</v>
      </c>
      <c r="B14" s="3" t="s">
        <v>147</v>
      </c>
    </row>
    <row r="15" spans="1:4">
      <c r="A15" s="3">
        <v>14</v>
      </c>
      <c r="B15" s="3" t="s">
        <v>148</v>
      </c>
    </row>
    <row r="16" spans="1:4">
      <c r="A16" s="3">
        <v>15</v>
      </c>
      <c r="B16" s="3" t="s">
        <v>149</v>
      </c>
    </row>
    <row r="17" spans="1:2">
      <c r="A17" s="3">
        <v>16</v>
      </c>
      <c r="B17" s="3" t="s">
        <v>150</v>
      </c>
    </row>
    <row r="18" spans="1:2">
      <c r="A18" s="3">
        <v>17</v>
      </c>
      <c r="B18" s="3" t="s">
        <v>151</v>
      </c>
    </row>
    <row r="19" spans="1:2">
      <c r="A19" s="3">
        <v>18</v>
      </c>
      <c r="B19" s="3" t="s">
        <v>152</v>
      </c>
    </row>
    <row r="20" spans="1:2">
      <c r="A20" s="3">
        <v>19</v>
      </c>
      <c r="B20" s="3" t="s">
        <v>153</v>
      </c>
    </row>
    <row r="21" spans="1:2">
      <c r="A21" s="3">
        <v>20</v>
      </c>
      <c r="B21" s="3" t="s">
        <v>154</v>
      </c>
    </row>
    <row r="22" spans="1:2">
      <c r="A22" s="3">
        <v>21</v>
      </c>
      <c r="B22" s="3" t="s">
        <v>155</v>
      </c>
    </row>
    <row r="23" spans="1:2">
      <c r="A23" s="3">
        <v>22</v>
      </c>
      <c r="B23" s="3" t="s">
        <v>156</v>
      </c>
    </row>
    <row r="24" spans="1:2">
      <c r="A24" s="3">
        <v>23</v>
      </c>
      <c r="B24" s="3" t="s">
        <v>157</v>
      </c>
    </row>
    <row r="25" spans="1:2">
      <c r="A25" s="3">
        <v>24</v>
      </c>
      <c r="B25" s="3" t="s">
        <v>158</v>
      </c>
    </row>
    <row r="26" spans="1:2">
      <c r="A26" s="3">
        <v>25</v>
      </c>
      <c r="B26" s="3" t="s">
        <v>159</v>
      </c>
    </row>
    <row r="27" spans="1:2">
      <c r="A27" s="3">
        <v>26</v>
      </c>
      <c r="B27" s="3" t="s">
        <v>160</v>
      </c>
    </row>
    <row r="28" spans="1:2">
      <c r="A28" s="3">
        <v>27</v>
      </c>
      <c r="B28" s="3" t="s">
        <v>161</v>
      </c>
    </row>
    <row r="29" spans="1:2">
      <c r="A29" s="3">
        <v>28</v>
      </c>
      <c r="B29" s="3" t="s">
        <v>162</v>
      </c>
    </row>
    <row r="30" spans="1:2">
      <c r="A30" s="3">
        <v>29</v>
      </c>
      <c r="B30" s="3" t="s">
        <v>163</v>
      </c>
    </row>
    <row r="31" spans="1:2">
      <c r="A31" s="3">
        <v>30</v>
      </c>
      <c r="B31" s="3" t="s">
        <v>164</v>
      </c>
    </row>
    <row r="32" spans="1:2">
      <c r="A32" s="3">
        <v>31</v>
      </c>
      <c r="B32" s="3" t="s">
        <v>165</v>
      </c>
    </row>
    <row r="33" spans="1:2">
      <c r="A33" s="3">
        <v>32</v>
      </c>
      <c r="B33" s="3" t="s">
        <v>166</v>
      </c>
    </row>
    <row r="34" spans="1:2">
      <c r="A34" s="3">
        <v>33</v>
      </c>
      <c r="B34" s="3" t="s">
        <v>167</v>
      </c>
    </row>
    <row r="35" spans="1:2">
      <c r="A35" s="3">
        <v>34</v>
      </c>
      <c r="B35" s="3" t="s">
        <v>168</v>
      </c>
    </row>
    <row r="36" spans="1:2">
      <c r="A36" s="3">
        <v>35</v>
      </c>
      <c r="B36" s="3" t="s">
        <v>169</v>
      </c>
    </row>
    <row r="37" spans="1:2">
      <c r="A37" s="3">
        <v>36</v>
      </c>
      <c r="B37" s="3" t="s">
        <v>170</v>
      </c>
    </row>
    <row r="38" spans="1:2">
      <c r="A38" s="3">
        <v>37</v>
      </c>
      <c r="B38" s="3" t="s">
        <v>171</v>
      </c>
    </row>
    <row r="39" spans="1:2">
      <c r="A39" s="3">
        <v>38</v>
      </c>
      <c r="B39" s="3" t="s">
        <v>172</v>
      </c>
    </row>
    <row r="40" spans="1:2">
      <c r="A40" s="3">
        <v>39</v>
      </c>
      <c r="B40" s="3" t="s">
        <v>173</v>
      </c>
    </row>
    <row r="41" spans="1:2">
      <c r="A41" s="3">
        <v>40</v>
      </c>
      <c r="B41" s="3" t="s">
        <v>174</v>
      </c>
    </row>
    <row r="42" spans="1:2">
      <c r="A42" s="3">
        <v>41</v>
      </c>
      <c r="B42" s="3" t="s">
        <v>175</v>
      </c>
    </row>
    <row r="43" spans="1:2">
      <c r="A43" s="3">
        <v>42</v>
      </c>
      <c r="B43" s="3" t="s">
        <v>176</v>
      </c>
    </row>
    <row r="44" spans="1:2">
      <c r="A44" s="3">
        <v>43</v>
      </c>
      <c r="B44" s="3" t="s">
        <v>177</v>
      </c>
    </row>
    <row r="45" spans="1:2">
      <c r="A45" s="3">
        <v>44</v>
      </c>
      <c r="B45" s="3" t="s">
        <v>178</v>
      </c>
    </row>
    <row r="46" spans="1:2">
      <c r="A46" s="3">
        <v>45</v>
      </c>
      <c r="B46" s="3" t="s">
        <v>179</v>
      </c>
    </row>
    <row r="47" spans="1:2">
      <c r="A47" s="3">
        <v>46</v>
      </c>
      <c r="B47" s="3" t="s">
        <v>180</v>
      </c>
    </row>
    <row r="48" spans="1:2">
      <c r="A48" s="3">
        <v>47</v>
      </c>
      <c r="B48" s="3" t="s">
        <v>181</v>
      </c>
    </row>
    <row r="49" spans="1:2">
      <c r="A49" s="3">
        <v>48</v>
      </c>
      <c r="B49" s="3" t="s">
        <v>182</v>
      </c>
    </row>
    <row r="50" spans="1:2">
      <c r="A50" s="3">
        <v>49</v>
      </c>
      <c r="B50" s="3" t="s">
        <v>183</v>
      </c>
    </row>
    <row r="51" spans="1:2">
      <c r="A51" s="3">
        <v>50</v>
      </c>
      <c r="B51" s="3" t="s">
        <v>184</v>
      </c>
    </row>
    <row r="52" spans="1:2">
      <c r="A52" s="3">
        <v>51</v>
      </c>
      <c r="B52" s="3" t="s">
        <v>185</v>
      </c>
    </row>
    <row r="53" spans="1:2">
      <c r="A53" s="3">
        <v>52</v>
      </c>
      <c r="B53" s="3" t="s">
        <v>186</v>
      </c>
    </row>
    <row r="54" spans="1:2">
      <c r="A54" s="3">
        <v>53</v>
      </c>
      <c r="B54" s="3" t="s">
        <v>187</v>
      </c>
    </row>
    <row r="55" spans="1:2">
      <c r="A55" s="3">
        <v>54</v>
      </c>
      <c r="B55" s="3" t="s">
        <v>188</v>
      </c>
    </row>
    <row r="56" spans="1:2">
      <c r="A56" s="3">
        <v>55</v>
      </c>
      <c r="B56" s="3" t="s">
        <v>189</v>
      </c>
    </row>
    <row r="57" spans="1:2">
      <c r="A57" s="3">
        <v>56</v>
      </c>
      <c r="B57" s="3" t="s">
        <v>190</v>
      </c>
    </row>
    <row r="58" spans="1:2">
      <c r="A58" s="3">
        <v>57</v>
      </c>
      <c r="B58" s="3" t="s">
        <v>191</v>
      </c>
    </row>
    <row r="59" spans="1:2">
      <c r="A59" s="3">
        <v>58</v>
      </c>
      <c r="B59" s="3" t="s">
        <v>192</v>
      </c>
    </row>
    <row r="60" spans="1:2">
      <c r="A60" s="3">
        <v>59</v>
      </c>
      <c r="B60" s="3" t="s">
        <v>193</v>
      </c>
    </row>
    <row r="61" spans="1:2">
      <c r="A61" s="3">
        <v>60</v>
      </c>
      <c r="B61" s="3" t="s">
        <v>194</v>
      </c>
    </row>
    <row r="62" spans="1:2">
      <c r="A62" s="3">
        <v>61</v>
      </c>
      <c r="B62" s="3" t="s">
        <v>195</v>
      </c>
    </row>
    <row r="63" spans="1:2">
      <c r="A63" s="3">
        <v>62</v>
      </c>
      <c r="B63" s="3" t="s">
        <v>196</v>
      </c>
    </row>
    <row r="64" spans="1:2">
      <c r="A64" s="3">
        <v>63</v>
      </c>
      <c r="B64" s="3" t="s">
        <v>197</v>
      </c>
    </row>
    <row r="65" spans="1:2">
      <c r="A65" s="3">
        <v>64</v>
      </c>
      <c r="B65" s="3" t="s">
        <v>198</v>
      </c>
    </row>
    <row r="66" spans="1:2">
      <c r="A66" s="3">
        <v>65</v>
      </c>
    </row>
    <row r="67" spans="1:2">
      <c r="A67" s="3">
        <v>66</v>
      </c>
    </row>
    <row r="68" spans="1:2">
      <c r="A68" s="3">
        <v>67</v>
      </c>
    </row>
    <row r="69" spans="1:2">
      <c r="A69" s="3">
        <v>68</v>
      </c>
    </row>
    <row r="70" spans="1:2">
      <c r="A70" s="3">
        <v>69</v>
      </c>
    </row>
  </sheetData>
  <pageMargins left="0.7" right="0.7" top="0.75" bottom="0.75" header="0.3" footer="0.3"/>
  <drawing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020"/>
  <sheetViews>
    <sheetView workbookViewId="0">
      <pane ySplit="1" topLeftCell="A2" activePane="bottomLeft" state="frozen"/>
      <selection pane="bottomLeft" activeCell="B3" sqref="B3"/>
    </sheetView>
  </sheetViews>
  <sheetFormatPr defaultColWidth="12.5703125" defaultRowHeight="15" customHeight="1"/>
  <cols>
    <col min="1" max="1" width="7.140625" customWidth="1"/>
    <col min="2" max="2" width="12.42578125" customWidth="1"/>
    <col min="3" max="3" width="107.28515625" customWidth="1"/>
    <col min="4" max="27" width="11" customWidth="1"/>
  </cols>
  <sheetData>
    <row r="1" spans="1:3" ht="15" customHeight="1">
      <c r="A1" s="20" t="s">
        <v>9</v>
      </c>
      <c r="B1" s="252" t="s">
        <v>199</v>
      </c>
      <c r="C1" s="251"/>
    </row>
    <row r="2" spans="1:3">
      <c r="A2" s="21">
        <v>1</v>
      </c>
      <c r="B2" s="22" t="str">
        <f>HYPERLINK("#rangeid=1985494498","Please work only with your sheets and do not temper with any other sheet. First Two letters are your sheet name")</f>
        <v>Please work only with your sheets and do not temper with any other sheet. First Two letters are your sheet name</v>
      </c>
      <c r="C2" s="5"/>
    </row>
    <row r="3" spans="1:3">
      <c r="A3" s="21">
        <v>2</v>
      </c>
      <c r="B3" s="23" t="s">
        <v>200</v>
      </c>
      <c r="C3" s="5"/>
    </row>
    <row r="4" spans="1:3">
      <c r="A4" s="21">
        <v>3</v>
      </c>
      <c r="B4" s="21" t="s">
        <v>201</v>
      </c>
      <c r="C4" s="5"/>
    </row>
    <row r="5" spans="1:3">
      <c r="A5" s="21">
        <v>4</v>
      </c>
      <c r="B5" s="24" t="s">
        <v>202</v>
      </c>
      <c r="C5" s="5"/>
    </row>
    <row r="6" spans="1:3">
      <c r="A6" s="21">
        <v>4.01</v>
      </c>
      <c r="C6" s="21" t="s">
        <v>203</v>
      </c>
    </row>
    <row r="7" spans="1:3">
      <c r="A7" s="21">
        <v>4.0199999999999996</v>
      </c>
      <c r="C7" s="21" t="s">
        <v>204</v>
      </c>
    </row>
    <row r="8" spans="1:3">
      <c r="A8" s="21">
        <v>4.03</v>
      </c>
      <c r="C8" s="3" t="s">
        <v>205</v>
      </c>
    </row>
    <row r="9" spans="1:3">
      <c r="A9" s="21">
        <v>4.04</v>
      </c>
      <c r="C9" s="21" t="s">
        <v>206</v>
      </c>
    </row>
    <row r="10" spans="1:3">
      <c r="A10" s="21">
        <v>4.05</v>
      </c>
      <c r="C10" s="21" t="s">
        <v>207</v>
      </c>
    </row>
    <row r="11" spans="1:3">
      <c r="A11" s="21">
        <v>4.0599999999999996</v>
      </c>
      <c r="C11" s="24" t="s">
        <v>208</v>
      </c>
    </row>
    <row r="12" spans="1:3">
      <c r="A12" s="21">
        <v>4.07</v>
      </c>
      <c r="C12" s="24" t="s">
        <v>209</v>
      </c>
    </row>
    <row r="13" spans="1:3">
      <c r="A13" s="21">
        <v>4.08</v>
      </c>
      <c r="C13" s="24" t="s">
        <v>210</v>
      </c>
    </row>
    <row r="14" spans="1:3">
      <c r="A14" s="25">
        <v>4.09</v>
      </c>
      <c r="B14" s="24"/>
      <c r="C14" s="26" t="s">
        <v>211</v>
      </c>
    </row>
    <row r="15" spans="1:3">
      <c r="A15" s="25">
        <v>4.0999999999999996</v>
      </c>
      <c r="B15" s="24"/>
      <c r="C15" s="27" t="s">
        <v>212</v>
      </c>
    </row>
    <row r="16" spans="1:3">
      <c r="A16" s="25">
        <v>4.1100000000000003</v>
      </c>
      <c r="B16" s="24"/>
      <c r="C16" s="28" t="s">
        <v>213</v>
      </c>
    </row>
    <row r="17" spans="1:3">
      <c r="A17" s="25">
        <v>4.12</v>
      </c>
      <c r="B17" s="24"/>
      <c r="C17" s="29" t="s">
        <v>214</v>
      </c>
    </row>
    <row r="18" spans="1:3">
      <c r="A18" s="25">
        <v>4.13</v>
      </c>
      <c r="B18" s="24"/>
      <c r="C18" s="30" t="s">
        <v>215</v>
      </c>
    </row>
    <row r="19" spans="1:3">
      <c r="A19" s="25">
        <v>4.1399999999999997</v>
      </c>
      <c r="B19" s="24"/>
      <c r="C19" s="32" t="str">
        <f>HYPERLINK("#gid=905707677&amp;range=A1","Update the Final Status accordingly for the clip")</f>
        <v>Update the Final Status accordingly for the clip</v>
      </c>
    </row>
    <row r="20" spans="1:3">
      <c r="A20" s="21">
        <v>4.1500000000000004</v>
      </c>
      <c r="B20" s="24"/>
      <c r="C20" s="34" t="str">
        <f>HYPERLINK("#gid=905707677&amp;range=D1:E1","Update Content Owner Column accordingly, your intials against the clip")</f>
        <v>Update Content Owner Column accordingly, your intials against the clip</v>
      </c>
    </row>
    <row r="21" spans="1:3">
      <c r="A21" s="21">
        <v>4.16</v>
      </c>
      <c r="B21" s="24"/>
      <c r="C21" s="21" t="s">
        <v>216</v>
      </c>
    </row>
    <row r="22" spans="1:3">
      <c r="A22" s="21">
        <v>4.17</v>
      </c>
      <c r="B22" s="24"/>
      <c r="C22" s="26" t="s">
        <v>217</v>
      </c>
    </row>
    <row r="23" spans="1:3">
      <c r="A23" s="21">
        <v>4.18</v>
      </c>
      <c r="B23" s="24"/>
      <c r="C23" s="26" t="s">
        <v>218</v>
      </c>
    </row>
    <row r="24" spans="1:3">
      <c r="A24" s="21">
        <v>4.1900000000000004</v>
      </c>
      <c r="B24" s="24"/>
      <c r="C24" s="26" t="s">
        <v>219</v>
      </c>
    </row>
    <row r="25" spans="1:3">
      <c r="B25" s="24"/>
    </row>
    <row r="26" spans="1:3">
      <c r="A26" s="21"/>
      <c r="B26" s="24"/>
      <c r="C26" s="5"/>
    </row>
    <row r="27" spans="1:3">
      <c r="A27" s="21"/>
      <c r="B27" s="24"/>
      <c r="C27" s="5"/>
    </row>
    <row r="28" spans="1:3">
      <c r="A28" s="21">
        <v>5</v>
      </c>
      <c r="B28" s="24" t="s">
        <v>220</v>
      </c>
      <c r="C28" s="5"/>
    </row>
    <row r="29" spans="1:3">
      <c r="A29" s="21">
        <v>5.01</v>
      </c>
      <c r="C29" s="21" t="s">
        <v>222</v>
      </c>
    </row>
    <row r="30" spans="1:3">
      <c r="A30" s="21"/>
      <c r="C30" s="5"/>
    </row>
    <row r="31" spans="1:3">
      <c r="A31" s="21">
        <v>6</v>
      </c>
      <c r="B31" s="24" t="s">
        <v>224</v>
      </c>
      <c r="C31" s="5"/>
    </row>
    <row r="32" spans="1:3">
      <c r="A32" s="21">
        <v>6.01</v>
      </c>
      <c r="C32" s="24" t="s">
        <v>225</v>
      </c>
    </row>
    <row r="33" spans="1:3">
      <c r="A33" s="21"/>
      <c r="C33" s="5"/>
    </row>
    <row r="34" spans="1:3">
      <c r="A34" s="21">
        <v>7</v>
      </c>
      <c r="B34" s="24" t="s">
        <v>226</v>
      </c>
      <c r="C34" s="24" t="s">
        <v>227</v>
      </c>
    </row>
    <row r="35" spans="1:3">
      <c r="A35" s="21">
        <v>7.01</v>
      </c>
      <c r="C35" s="24" t="s">
        <v>228</v>
      </c>
    </row>
    <row r="36" spans="1:3">
      <c r="A36" s="21">
        <v>7.02</v>
      </c>
      <c r="C36" s="24" t="s">
        <v>229</v>
      </c>
    </row>
    <row r="37" spans="1:3">
      <c r="A37" s="21">
        <v>7.03</v>
      </c>
      <c r="C37" s="39" t="s">
        <v>231</v>
      </c>
    </row>
    <row r="38" spans="1:3">
      <c r="C38" s="5"/>
    </row>
    <row r="39" spans="1:3">
      <c r="C39" s="5"/>
    </row>
    <row r="40" spans="1:3">
      <c r="C40" s="5"/>
    </row>
    <row r="41" spans="1:3">
      <c r="C41" s="5"/>
    </row>
    <row r="42" spans="1:3">
      <c r="C42" s="5"/>
    </row>
    <row r="43" spans="1:3">
      <c r="C43" s="5"/>
    </row>
    <row r="44" spans="1:3">
      <c r="C44" s="5"/>
    </row>
    <row r="45" spans="1:3">
      <c r="C45" s="5"/>
    </row>
    <row r="46" spans="1:3">
      <c r="C46" s="5"/>
    </row>
    <row r="47" spans="1:3">
      <c r="C47" s="5"/>
    </row>
    <row r="48" spans="1:3">
      <c r="C48" s="5"/>
    </row>
    <row r="49" spans="3:3">
      <c r="C49" s="5"/>
    </row>
    <row r="50" spans="3:3">
      <c r="C50" s="5"/>
    </row>
    <row r="51" spans="3:3">
      <c r="C51" s="5"/>
    </row>
    <row r="52" spans="3:3">
      <c r="C52" s="5"/>
    </row>
    <row r="53" spans="3:3">
      <c r="C53" s="5"/>
    </row>
    <row r="54" spans="3:3">
      <c r="C54" s="5"/>
    </row>
    <row r="55" spans="3:3">
      <c r="C55" s="5"/>
    </row>
    <row r="56" spans="3:3">
      <c r="C56" s="5"/>
    </row>
    <row r="57" spans="3:3">
      <c r="C57" s="5"/>
    </row>
    <row r="58" spans="3:3">
      <c r="C58" s="5"/>
    </row>
    <row r="59" spans="3:3">
      <c r="C59" s="5"/>
    </row>
    <row r="60" spans="3:3">
      <c r="C60" s="5"/>
    </row>
    <row r="61" spans="3:3">
      <c r="C61" s="5"/>
    </row>
    <row r="62" spans="3:3">
      <c r="C62" s="5"/>
    </row>
    <row r="63" spans="3:3">
      <c r="C63" s="5"/>
    </row>
    <row r="64" spans="3:3">
      <c r="C64" s="5"/>
    </row>
    <row r="65" spans="3:3">
      <c r="C65" s="5"/>
    </row>
    <row r="66" spans="3:3">
      <c r="C66" s="5"/>
    </row>
    <row r="67" spans="3:3">
      <c r="C67" s="5"/>
    </row>
    <row r="68" spans="3:3">
      <c r="C68" s="5"/>
    </row>
    <row r="69" spans="3:3">
      <c r="C69" s="5"/>
    </row>
    <row r="70" spans="3:3">
      <c r="C70" s="5"/>
    </row>
    <row r="71" spans="3:3">
      <c r="C71" s="5"/>
    </row>
    <row r="72" spans="3:3">
      <c r="C72" s="5"/>
    </row>
    <row r="73" spans="3:3">
      <c r="C73" s="5"/>
    </row>
    <row r="74" spans="3:3">
      <c r="C74" s="5"/>
    </row>
    <row r="75" spans="3:3">
      <c r="C75" s="5"/>
    </row>
    <row r="76" spans="3:3">
      <c r="C76" s="5"/>
    </row>
    <row r="77" spans="3:3">
      <c r="C77" s="5"/>
    </row>
    <row r="78" spans="3:3">
      <c r="C78" s="5"/>
    </row>
    <row r="79" spans="3:3">
      <c r="C79" s="5"/>
    </row>
    <row r="80" spans="3:3">
      <c r="C80" s="5"/>
    </row>
    <row r="81" spans="3:3">
      <c r="C81" s="5"/>
    </row>
    <row r="82" spans="3:3">
      <c r="C82" s="5"/>
    </row>
    <row r="83" spans="3:3">
      <c r="C83" s="5"/>
    </row>
    <row r="84" spans="3:3">
      <c r="C84" s="5"/>
    </row>
    <row r="85" spans="3:3">
      <c r="C85" s="5"/>
    </row>
    <row r="86" spans="3:3">
      <c r="C86" s="5"/>
    </row>
    <row r="87" spans="3:3">
      <c r="C87" s="5"/>
    </row>
    <row r="88" spans="3:3">
      <c r="C88" s="5"/>
    </row>
    <row r="89" spans="3:3">
      <c r="C89" s="5"/>
    </row>
    <row r="90" spans="3:3">
      <c r="C90" s="5"/>
    </row>
    <row r="91" spans="3:3">
      <c r="C91" s="5"/>
    </row>
    <row r="92" spans="3:3">
      <c r="C92" s="5"/>
    </row>
    <row r="93" spans="3:3">
      <c r="C93" s="5"/>
    </row>
    <row r="94" spans="3:3">
      <c r="C94" s="5"/>
    </row>
    <row r="95" spans="3:3">
      <c r="C95" s="5"/>
    </row>
    <row r="96" spans="3:3">
      <c r="C96" s="5"/>
    </row>
    <row r="97" spans="3:3">
      <c r="C97" s="5"/>
    </row>
    <row r="98" spans="3:3">
      <c r="C98" s="5"/>
    </row>
    <row r="99" spans="3:3">
      <c r="C99" s="5"/>
    </row>
    <row r="100" spans="3:3">
      <c r="C100" s="5"/>
    </row>
    <row r="101" spans="3:3">
      <c r="C101" s="5"/>
    </row>
    <row r="102" spans="3:3">
      <c r="C102" s="5"/>
    </row>
    <row r="103" spans="3:3">
      <c r="C103" s="5"/>
    </row>
    <row r="104" spans="3:3">
      <c r="C104" s="5"/>
    </row>
    <row r="105" spans="3:3">
      <c r="C105" s="5"/>
    </row>
    <row r="106" spans="3:3">
      <c r="C106" s="5"/>
    </row>
    <row r="107" spans="3:3">
      <c r="C107" s="5"/>
    </row>
    <row r="108" spans="3:3">
      <c r="C108" s="5"/>
    </row>
    <row r="109" spans="3:3">
      <c r="C109" s="5"/>
    </row>
    <row r="110" spans="3:3">
      <c r="C110" s="5"/>
    </row>
    <row r="111" spans="3:3">
      <c r="C111" s="5"/>
    </row>
    <row r="112" spans="3:3">
      <c r="C112" s="5"/>
    </row>
    <row r="113" spans="3:3">
      <c r="C113" s="5"/>
    </row>
    <row r="114" spans="3:3">
      <c r="C114" s="5"/>
    </row>
    <row r="115" spans="3:3">
      <c r="C115" s="5"/>
    </row>
    <row r="116" spans="3:3">
      <c r="C116" s="5"/>
    </row>
    <row r="117" spans="3:3">
      <c r="C117" s="5"/>
    </row>
    <row r="118" spans="3:3">
      <c r="C118" s="5"/>
    </row>
    <row r="119" spans="3:3">
      <c r="C119" s="5"/>
    </row>
    <row r="120" spans="3:3">
      <c r="C120" s="5"/>
    </row>
    <row r="121" spans="3:3">
      <c r="C121" s="5"/>
    </row>
    <row r="122" spans="3:3">
      <c r="C122" s="5"/>
    </row>
    <row r="123" spans="3:3">
      <c r="C123" s="5"/>
    </row>
    <row r="124" spans="3:3">
      <c r="C124" s="5"/>
    </row>
    <row r="125" spans="3:3">
      <c r="C125" s="5"/>
    </row>
    <row r="126" spans="3:3">
      <c r="C126" s="5"/>
    </row>
    <row r="127" spans="3:3">
      <c r="C127" s="5"/>
    </row>
    <row r="128" spans="3:3">
      <c r="C128" s="5"/>
    </row>
    <row r="129" spans="3:3">
      <c r="C129" s="5"/>
    </row>
    <row r="130" spans="3:3">
      <c r="C130" s="5"/>
    </row>
    <row r="131" spans="3:3">
      <c r="C131" s="5"/>
    </row>
    <row r="132" spans="3:3">
      <c r="C132" s="5"/>
    </row>
    <row r="133" spans="3:3">
      <c r="C133" s="5"/>
    </row>
    <row r="134" spans="3:3">
      <c r="C134" s="5"/>
    </row>
    <row r="135" spans="3:3">
      <c r="C135" s="5"/>
    </row>
    <row r="136" spans="3:3">
      <c r="C136" s="5"/>
    </row>
    <row r="137" spans="3:3">
      <c r="C137" s="5"/>
    </row>
    <row r="138" spans="3:3">
      <c r="C138" s="5"/>
    </row>
    <row r="139" spans="3:3">
      <c r="C139" s="5"/>
    </row>
    <row r="140" spans="3:3">
      <c r="C140" s="5"/>
    </row>
    <row r="141" spans="3:3">
      <c r="C141" s="5"/>
    </row>
    <row r="142" spans="3:3">
      <c r="C142" s="5"/>
    </row>
    <row r="143" spans="3:3">
      <c r="C143" s="5"/>
    </row>
    <row r="144" spans="3:3">
      <c r="C144" s="5"/>
    </row>
    <row r="145" spans="3:3">
      <c r="C145" s="5"/>
    </row>
    <row r="146" spans="3:3">
      <c r="C146" s="5"/>
    </row>
    <row r="147" spans="3:3">
      <c r="C147" s="5"/>
    </row>
    <row r="148" spans="3:3">
      <c r="C148" s="5"/>
    </row>
    <row r="149" spans="3:3">
      <c r="C149" s="5"/>
    </row>
    <row r="150" spans="3:3">
      <c r="C150" s="5"/>
    </row>
    <row r="151" spans="3:3">
      <c r="C151" s="5"/>
    </row>
    <row r="152" spans="3:3">
      <c r="C152" s="5"/>
    </row>
    <row r="153" spans="3:3">
      <c r="C153" s="5"/>
    </row>
    <row r="154" spans="3:3">
      <c r="C154" s="5"/>
    </row>
    <row r="155" spans="3:3">
      <c r="C155" s="5"/>
    </row>
    <row r="156" spans="3:3">
      <c r="C156" s="5"/>
    </row>
    <row r="157" spans="3:3">
      <c r="C157" s="5"/>
    </row>
    <row r="158" spans="3:3">
      <c r="C158" s="5"/>
    </row>
    <row r="159" spans="3:3">
      <c r="C159" s="5"/>
    </row>
    <row r="160" spans="3:3">
      <c r="C160" s="5"/>
    </row>
    <row r="161" spans="3:3">
      <c r="C161" s="5"/>
    </row>
    <row r="162" spans="3:3">
      <c r="C162" s="5"/>
    </row>
    <row r="163" spans="3:3">
      <c r="C163" s="5"/>
    </row>
    <row r="164" spans="3:3">
      <c r="C164" s="5"/>
    </row>
    <row r="165" spans="3:3">
      <c r="C165" s="5"/>
    </row>
    <row r="166" spans="3:3">
      <c r="C166" s="5"/>
    </row>
    <row r="167" spans="3:3">
      <c r="C167" s="5"/>
    </row>
    <row r="168" spans="3:3">
      <c r="C168" s="5"/>
    </row>
    <row r="169" spans="3:3">
      <c r="C169" s="5"/>
    </row>
    <row r="170" spans="3:3">
      <c r="C170" s="5"/>
    </row>
    <row r="171" spans="3:3">
      <c r="C171" s="5"/>
    </row>
    <row r="172" spans="3:3">
      <c r="C172" s="5"/>
    </row>
    <row r="173" spans="3:3">
      <c r="C173" s="5"/>
    </row>
    <row r="174" spans="3:3">
      <c r="C174" s="5"/>
    </row>
    <row r="175" spans="3:3">
      <c r="C175" s="5"/>
    </row>
    <row r="176" spans="3:3">
      <c r="C176" s="5"/>
    </row>
    <row r="177" spans="3:3">
      <c r="C177" s="5"/>
    </row>
    <row r="178" spans="3:3">
      <c r="C178" s="5"/>
    </row>
    <row r="179" spans="3:3">
      <c r="C179" s="5"/>
    </row>
    <row r="180" spans="3:3">
      <c r="C180" s="5"/>
    </row>
    <row r="181" spans="3:3">
      <c r="C181" s="5"/>
    </row>
    <row r="182" spans="3:3">
      <c r="C182" s="5"/>
    </row>
    <row r="183" spans="3:3">
      <c r="C183" s="5"/>
    </row>
    <row r="184" spans="3:3">
      <c r="C184" s="5"/>
    </row>
    <row r="185" spans="3:3">
      <c r="C185" s="5"/>
    </row>
    <row r="186" spans="3:3">
      <c r="C186" s="5"/>
    </row>
    <row r="187" spans="3:3">
      <c r="C187" s="5"/>
    </row>
    <row r="188" spans="3:3">
      <c r="C188" s="5"/>
    </row>
    <row r="189" spans="3:3">
      <c r="C189" s="5"/>
    </row>
    <row r="190" spans="3:3">
      <c r="C190" s="5"/>
    </row>
    <row r="191" spans="3:3">
      <c r="C191" s="5"/>
    </row>
    <row r="192" spans="3:3">
      <c r="C192" s="5"/>
    </row>
    <row r="193" spans="3:3">
      <c r="C193" s="5"/>
    </row>
    <row r="194" spans="3:3">
      <c r="C194" s="5"/>
    </row>
    <row r="195" spans="3:3">
      <c r="C195" s="5"/>
    </row>
    <row r="196" spans="3:3">
      <c r="C196" s="5"/>
    </row>
    <row r="197" spans="3:3">
      <c r="C197" s="5"/>
    </row>
    <row r="198" spans="3:3">
      <c r="C198" s="5"/>
    </row>
    <row r="199" spans="3:3">
      <c r="C199" s="5"/>
    </row>
    <row r="200" spans="3:3">
      <c r="C200" s="5"/>
    </row>
    <row r="201" spans="3:3">
      <c r="C201" s="5"/>
    </row>
    <row r="202" spans="3:3">
      <c r="C202" s="5"/>
    </row>
    <row r="203" spans="3:3">
      <c r="C203" s="5"/>
    </row>
    <row r="204" spans="3:3">
      <c r="C204" s="5"/>
    </row>
    <row r="205" spans="3:3">
      <c r="C205" s="5"/>
    </row>
    <row r="206" spans="3:3">
      <c r="C206" s="5"/>
    </row>
    <row r="207" spans="3:3">
      <c r="C207" s="5"/>
    </row>
    <row r="208" spans="3:3">
      <c r="C208" s="5"/>
    </row>
    <row r="209" spans="3:3">
      <c r="C209" s="5"/>
    </row>
    <row r="210" spans="3:3">
      <c r="C210" s="5"/>
    </row>
    <row r="211" spans="3:3">
      <c r="C211" s="5"/>
    </row>
    <row r="212" spans="3:3">
      <c r="C212" s="5"/>
    </row>
    <row r="213" spans="3:3">
      <c r="C213" s="5"/>
    </row>
    <row r="214" spans="3:3">
      <c r="C214" s="5"/>
    </row>
    <row r="215" spans="3:3">
      <c r="C215" s="5"/>
    </row>
    <row r="216" spans="3:3">
      <c r="C216" s="5"/>
    </row>
    <row r="217" spans="3:3">
      <c r="C217" s="5"/>
    </row>
    <row r="218" spans="3:3">
      <c r="C218" s="5"/>
    </row>
    <row r="219" spans="3:3">
      <c r="C219" s="5"/>
    </row>
    <row r="220" spans="3:3">
      <c r="C220" s="5"/>
    </row>
    <row r="221" spans="3:3">
      <c r="C221" s="5"/>
    </row>
    <row r="222" spans="3:3">
      <c r="C222" s="5"/>
    </row>
    <row r="223" spans="3:3">
      <c r="C223" s="5"/>
    </row>
    <row r="224" spans="3:3">
      <c r="C224" s="5"/>
    </row>
    <row r="225" spans="3:3">
      <c r="C225" s="5"/>
    </row>
    <row r="226" spans="3:3">
      <c r="C226" s="5"/>
    </row>
    <row r="227" spans="3:3">
      <c r="C227" s="5"/>
    </row>
    <row r="228" spans="3:3">
      <c r="C228" s="5"/>
    </row>
    <row r="229" spans="3:3">
      <c r="C229" s="5"/>
    </row>
    <row r="230" spans="3:3">
      <c r="C230" s="5"/>
    </row>
    <row r="231" spans="3:3">
      <c r="C231" s="5"/>
    </row>
    <row r="232" spans="3:3">
      <c r="C232" s="5"/>
    </row>
    <row r="233" spans="3:3">
      <c r="C233" s="5"/>
    </row>
    <row r="234" spans="3:3">
      <c r="C234" s="5"/>
    </row>
    <row r="235" spans="3:3">
      <c r="C235" s="5"/>
    </row>
    <row r="236" spans="3:3">
      <c r="C236" s="5"/>
    </row>
    <row r="237" spans="3:3">
      <c r="C237" s="5"/>
    </row>
    <row r="238" spans="3:3">
      <c r="C238" s="5"/>
    </row>
    <row r="239" spans="3:3">
      <c r="C239" s="5"/>
    </row>
    <row r="240" spans="3:3">
      <c r="C240" s="5"/>
    </row>
    <row r="241" spans="3:3">
      <c r="C241" s="5"/>
    </row>
    <row r="242" spans="3:3">
      <c r="C242" s="5"/>
    </row>
    <row r="243" spans="3:3">
      <c r="C243" s="5"/>
    </row>
    <row r="244" spans="3:3">
      <c r="C244" s="5"/>
    </row>
    <row r="245" spans="3:3">
      <c r="C245" s="5"/>
    </row>
    <row r="246" spans="3:3">
      <c r="C246" s="5"/>
    </row>
    <row r="247" spans="3:3">
      <c r="C247" s="5"/>
    </row>
    <row r="248" spans="3:3">
      <c r="C248" s="5"/>
    </row>
    <row r="249" spans="3:3">
      <c r="C249" s="5"/>
    </row>
    <row r="250" spans="3:3">
      <c r="C250" s="5"/>
    </row>
    <row r="251" spans="3:3">
      <c r="C251" s="5"/>
    </row>
    <row r="252" spans="3:3">
      <c r="C252" s="5"/>
    </row>
    <row r="253" spans="3:3">
      <c r="C253" s="5"/>
    </row>
    <row r="254" spans="3:3">
      <c r="C254" s="5"/>
    </row>
    <row r="255" spans="3:3">
      <c r="C255" s="5"/>
    </row>
    <row r="256" spans="3:3">
      <c r="C256" s="5"/>
    </row>
    <row r="257" spans="3:3">
      <c r="C257" s="5"/>
    </row>
    <row r="258" spans="3:3">
      <c r="C258" s="5"/>
    </row>
    <row r="259" spans="3:3">
      <c r="C259" s="5"/>
    </row>
    <row r="260" spans="3:3">
      <c r="C260" s="5"/>
    </row>
    <row r="261" spans="3:3">
      <c r="C261" s="5"/>
    </row>
    <row r="262" spans="3:3">
      <c r="C262" s="5"/>
    </row>
    <row r="263" spans="3:3">
      <c r="C263" s="5"/>
    </row>
    <row r="264" spans="3:3">
      <c r="C264" s="5"/>
    </row>
    <row r="265" spans="3:3">
      <c r="C265" s="5"/>
    </row>
    <row r="266" spans="3:3">
      <c r="C266" s="5"/>
    </row>
    <row r="267" spans="3:3">
      <c r="C267" s="5"/>
    </row>
    <row r="268" spans="3:3">
      <c r="C268" s="5"/>
    </row>
    <row r="269" spans="3:3">
      <c r="C269" s="5"/>
    </row>
    <row r="270" spans="3:3">
      <c r="C270" s="5"/>
    </row>
    <row r="271" spans="3:3">
      <c r="C271" s="5"/>
    </row>
    <row r="272" spans="3:3">
      <c r="C272" s="5"/>
    </row>
    <row r="273" spans="3:3">
      <c r="C273" s="5"/>
    </row>
    <row r="274" spans="3:3">
      <c r="C274" s="5"/>
    </row>
    <row r="275" spans="3:3">
      <c r="C275" s="5"/>
    </row>
    <row r="276" spans="3:3">
      <c r="C276" s="5"/>
    </row>
    <row r="277" spans="3:3">
      <c r="C277" s="5"/>
    </row>
    <row r="278" spans="3:3">
      <c r="C278" s="5"/>
    </row>
    <row r="279" spans="3:3">
      <c r="C279" s="5"/>
    </row>
    <row r="280" spans="3:3">
      <c r="C280" s="5"/>
    </row>
    <row r="281" spans="3:3">
      <c r="C281" s="5"/>
    </row>
    <row r="282" spans="3:3">
      <c r="C282" s="5"/>
    </row>
    <row r="283" spans="3:3">
      <c r="C283" s="5"/>
    </row>
    <row r="284" spans="3:3">
      <c r="C284" s="5"/>
    </row>
    <row r="285" spans="3:3">
      <c r="C285" s="5"/>
    </row>
    <row r="286" spans="3:3">
      <c r="C286" s="5"/>
    </row>
    <row r="287" spans="3:3">
      <c r="C287" s="5"/>
    </row>
    <row r="288" spans="3:3">
      <c r="C288" s="5"/>
    </row>
    <row r="289" spans="3:3">
      <c r="C289" s="5"/>
    </row>
    <row r="290" spans="3:3">
      <c r="C290" s="5"/>
    </row>
    <row r="291" spans="3:3">
      <c r="C291" s="5"/>
    </row>
    <row r="292" spans="3:3">
      <c r="C292" s="5"/>
    </row>
    <row r="293" spans="3:3">
      <c r="C293" s="5"/>
    </row>
    <row r="294" spans="3:3">
      <c r="C294" s="5"/>
    </row>
    <row r="295" spans="3:3">
      <c r="C295" s="5"/>
    </row>
    <row r="296" spans="3:3">
      <c r="C296" s="5"/>
    </row>
    <row r="297" spans="3:3">
      <c r="C297" s="5"/>
    </row>
    <row r="298" spans="3:3">
      <c r="C298" s="5"/>
    </row>
    <row r="299" spans="3:3">
      <c r="C299" s="5"/>
    </row>
    <row r="300" spans="3:3">
      <c r="C300" s="5"/>
    </row>
    <row r="301" spans="3:3">
      <c r="C301" s="5"/>
    </row>
    <row r="302" spans="3:3">
      <c r="C302" s="5"/>
    </row>
    <row r="303" spans="3:3">
      <c r="C303" s="5"/>
    </row>
    <row r="304" spans="3:3">
      <c r="C304" s="5"/>
    </row>
    <row r="305" spans="3:3">
      <c r="C305" s="5"/>
    </row>
    <row r="306" spans="3:3">
      <c r="C306" s="5"/>
    </row>
    <row r="307" spans="3:3">
      <c r="C307" s="5"/>
    </row>
    <row r="308" spans="3:3">
      <c r="C308" s="5"/>
    </row>
    <row r="309" spans="3:3">
      <c r="C309" s="5"/>
    </row>
    <row r="310" spans="3:3">
      <c r="C310" s="5"/>
    </row>
    <row r="311" spans="3:3">
      <c r="C311" s="5"/>
    </row>
    <row r="312" spans="3:3">
      <c r="C312" s="5"/>
    </row>
    <row r="313" spans="3:3">
      <c r="C313" s="5"/>
    </row>
    <row r="314" spans="3:3">
      <c r="C314" s="5"/>
    </row>
    <row r="315" spans="3:3">
      <c r="C315" s="5"/>
    </row>
    <row r="316" spans="3:3">
      <c r="C316" s="5"/>
    </row>
    <row r="317" spans="3:3">
      <c r="C317" s="5"/>
    </row>
    <row r="318" spans="3:3">
      <c r="C318" s="5"/>
    </row>
    <row r="319" spans="3:3">
      <c r="C319" s="5"/>
    </row>
    <row r="320" spans="3:3">
      <c r="C320" s="5"/>
    </row>
    <row r="321" spans="3:3">
      <c r="C321" s="5"/>
    </row>
    <row r="322" spans="3:3">
      <c r="C322" s="5"/>
    </row>
    <row r="323" spans="3:3">
      <c r="C323" s="5"/>
    </row>
    <row r="324" spans="3:3">
      <c r="C324" s="5"/>
    </row>
    <row r="325" spans="3:3">
      <c r="C325" s="5"/>
    </row>
    <row r="326" spans="3:3">
      <c r="C326" s="5"/>
    </row>
    <row r="327" spans="3:3">
      <c r="C327" s="5"/>
    </row>
    <row r="328" spans="3:3">
      <c r="C328" s="5"/>
    </row>
    <row r="329" spans="3:3">
      <c r="C329" s="5"/>
    </row>
    <row r="330" spans="3:3">
      <c r="C330" s="5"/>
    </row>
    <row r="331" spans="3:3">
      <c r="C331" s="5"/>
    </row>
    <row r="332" spans="3:3">
      <c r="C332" s="5"/>
    </row>
    <row r="333" spans="3:3">
      <c r="C333" s="5"/>
    </row>
    <row r="334" spans="3:3">
      <c r="C334" s="5"/>
    </row>
    <row r="335" spans="3:3">
      <c r="C335" s="5"/>
    </row>
    <row r="336" spans="3:3">
      <c r="C336" s="5"/>
    </row>
    <row r="337" spans="3:3">
      <c r="C337" s="5"/>
    </row>
    <row r="338" spans="3:3">
      <c r="C338" s="5"/>
    </row>
    <row r="339" spans="3:3">
      <c r="C339" s="5"/>
    </row>
    <row r="340" spans="3:3">
      <c r="C340" s="5"/>
    </row>
    <row r="341" spans="3:3">
      <c r="C341" s="5"/>
    </row>
    <row r="342" spans="3:3">
      <c r="C342" s="5"/>
    </row>
    <row r="343" spans="3:3">
      <c r="C343" s="5"/>
    </row>
    <row r="344" spans="3:3">
      <c r="C344" s="5"/>
    </row>
    <row r="345" spans="3:3">
      <c r="C345" s="5"/>
    </row>
    <row r="346" spans="3:3">
      <c r="C346" s="5"/>
    </row>
    <row r="347" spans="3:3">
      <c r="C347" s="5"/>
    </row>
    <row r="348" spans="3:3">
      <c r="C348" s="5"/>
    </row>
    <row r="349" spans="3:3">
      <c r="C349" s="5"/>
    </row>
    <row r="350" spans="3:3">
      <c r="C350" s="5"/>
    </row>
    <row r="351" spans="3:3">
      <c r="C351" s="5"/>
    </row>
    <row r="352" spans="3:3">
      <c r="C352" s="5"/>
    </row>
    <row r="353" spans="3:3">
      <c r="C353" s="5"/>
    </row>
    <row r="354" spans="3:3">
      <c r="C354" s="5"/>
    </row>
    <row r="355" spans="3:3">
      <c r="C355" s="5"/>
    </row>
    <row r="356" spans="3:3">
      <c r="C356" s="5"/>
    </row>
    <row r="357" spans="3:3">
      <c r="C357" s="5"/>
    </row>
    <row r="358" spans="3:3">
      <c r="C358" s="5"/>
    </row>
    <row r="359" spans="3:3">
      <c r="C359" s="5"/>
    </row>
    <row r="360" spans="3:3">
      <c r="C360" s="5"/>
    </row>
    <row r="361" spans="3:3">
      <c r="C361" s="5"/>
    </row>
    <row r="362" spans="3:3">
      <c r="C362" s="5"/>
    </row>
    <row r="363" spans="3:3">
      <c r="C363" s="5"/>
    </row>
    <row r="364" spans="3:3">
      <c r="C364" s="5"/>
    </row>
    <row r="365" spans="3:3">
      <c r="C365" s="5"/>
    </row>
    <row r="366" spans="3:3">
      <c r="C366" s="5"/>
    </row>
    <row r="367" spans="3:3">
      <c r="C367" s="5"/>
    </row>
    <row r="368" spans="3:3">
      <c r="C368" s="5"/>
    </row>
    <row r="369" spans="3:3">
      <c r="C369" s="5"/>
    </row>
    <row r="370" spans="3:3">
      <c r="C370" s="5"/>
    </row>
    <row r="371" spans="3:3">
      <c r="C371" s="5"/>
    </row>
    <row r="372" spans="3:3">
      <c r="C372" s="5"/>
    </row>
    <row r="373" spans="3:3">
      <c r="C373" s="5"/>
    </row>
    <row r="374" spans="3:3">
      <c r="C374" s="5"/>
    </row>
    <row r="375" spans="3:3">
      <c r="C375" s="5"/>
    </row>
    <row r="376" spans="3:3">
      <c r="C376" s="5"/>
    </row>
    <row r="377" spans="3:3">
      <c r="C377" s="5"/>
    </row>
    <row r="378" spans="3:3">
      <c r="C378" s="5"/>
    </row>
    <row r="379" spans="3:3">
      <c r="C379" s="5"/>
    </row>
    <row r="380" spans="3:3">
      <c r="C380" s="5"/>
    </row>
    <row r="381" spans="3:3">
      <c r="C381" s="5"/>
    </row>
    <row r="382" spans="3:3">
      <c r="C382" s="5"/>
    </row>
    <row r="383" spans="3:3">
      <c r="C383" s="5"/>
    </row>
    <row r="384" spans="3:3">
      <c r="C384" s="5"/>
    </row>
    <row r="385" spans="3:3">
      <c r="C385" s="5"/>
    </row>
    <row r="386" spans="3:3">
      <c r="C386" s="5"/>
    </row>
    <row r="387" spans="3:3">
      <c r="C387" s="5"/>
    </row>
    <row r="388" spans="3:3">
      <c r="C388" s="5"/>
    </row>
    <row r="389" spans="3:3">
      <c r="C389" s="5"/>
    </row>
    <row r="390" spans="3:3">
      <c r="C390" s="5"/>
    </row>
    <row r="391" spans="3:3">
      <c r="C391" s="5"/>
    </row>
    <row r="392" spans="3:3">
      <c r="C392" s="5"/>
    </row>
    <row r="393" spans="3:3">
      <c r="C393" s="5"/>
    </row>
    <row r="394" spans="3:3">
      <c r="C394" s="5"/>
    </row>
    <row r="395" spans="3:3">
      <c r="C395" s="5"/>
    </row>
    <row r="396" spans="3:3">
      <c r="C396" s="5"/>
    </row>
    <row r="397" spans="3:3">
      <c r="C397" s="5"/>
    </row>
    <row r="398" spans="3:3">
      <c r="C398" s="5"/>
    </row>
    <row r="399" spans="3:3">
      <c r="C399" s="5"/>
    </row>
    <row r="400" spans="3:3">
      <c r="C400" s="5"/>
    </row>
    <row r="401" spans="3:3">
      <c r="C401" s="5"/>
    </row>
    <row r="402" spans="3:3">
      <c r="C402" s="5"/>
    </row>
    <row r="403" spans="3:3">
      <c r="C403" s="5"/>
    </row>
    <row r="404" spans="3:3">
      <c r="C404" s="5"/>
    </row>
    <row r="405" spans="3:3">
      <c r="C405" s="5"/>
    </row>
    <row r="406" spans="3:3">
      <c r="C406" s="5"/>
    </row>
    <row r="407" spans="3:3">
      <c r="C407" s="5"/>
    </row>
    <row r="408" spans="3:3">
      <c r="C408" s="5"/>
    </row>
    <row r="409" spans="3:3">
      <c r="C409" s="5"/>
    </row>
    <row r="410" spans="3:3">
      <c r="C410" s="5"/>
    </row>
    <row r="411" spans="3:3">
      <c r="C411" s="5"/>
    </row>
    <row r="412" spans="3:3">
      <c r="C412" s="5"/>
    </row>
    <row r="413" spans="3:3">
      <c r="C413" s="5"/>
    </row>
    <row r="414" spans="3:3">
      <c r="C414" s="5"/>
    </row>
    <row r="415" spans="3:3">
      <c r="C415" s="5"/>
    </row>
    <row r="416" spans="3:3">
      <c r="C416" s="5"/>
    </row>
    <row r="417" spans="3:3">
      <c r="C417" s="5"/>
    </row>
    <row r="418" spans="3:3">
      <c r="C418" s="5"/>
    </row>
    <row r="419" spans="3:3">
      <c r="C419" s="5"/>
    </row>
    <row r="420" spans="3:3">
      <c r="C420" s="5"/>
    </row>
    <row r="421" spans="3:3">
      <c r="C421" s="5"/>
    </row>
    <row r="422" spans="3:3">
      <c r="C422" s="5"/>
    </row>
    <row r="423" spans="3:3">
      <c r="C423" s="5"/>
    </row>
    <row r="424" spans="3:3">
      <c r="C424" s="5"/>
    </row>
    <row r="425" spans="3:3">
      <c r="C425" s="5"/>
    </row>
    <row r="426" spans="3:3">
      <c r="C426" s="5"/>
    </row>
    <row r="427" spans="3:3">
      <c r="C427" s="5"/>
    </row>
    <row r="428" spans="3:3">
      <c r="C428" s="5"/>
    </row>
    <row r="429" spans="3:3">
      <c r="C429" s="5"/>
    </row>
    <row r="430" spans="3:3">
      <c r="C430" s="5"/>
    </row>
    <row r="431" spans="3:3">
      <c r="C431" s="5"/>
    </row>
    <row r="432" spans="3:3">
      <c r="C432" s="5"/>
    </row>
    <row r="433" spans="3:3">
      <c r="C433" s="5"/>
    </row>
    <row r="434" spans="3:3">
      <c r="C434" s="5"/>
    </row>
    <row r="435" spans="3:3">
      <c r="C435" s="5"/>
    </row>
    <row r="436" spans="3:3">
      <c r="C436" s="5"/>
    </row>
    <row r="437" spans="3:3">
      <c r="C437" s="5"/>
    </row>
    <row r="438" spans="3:3">
      <c r="C438" s="5"/>
    </row>
    <row r="439" spans="3:3">
      <c r="C439" s="5"/>
    </row>
    <row r="440" spans="3:3">
      <c r="C440" s="5"/>
    </row>
    <row r="441" spans="3:3">
      <c r="C441" s="5"/>
    </row>
    <row r="442" spans="3:3">
      <c r="C442" s="5"/>
    </row>
    <row r="443" spans="3:3">
      <c r="C443" s="5"/>
    </row>
    <row r="444" spans="3:3">
      <c r="C444" s="5"/>
    </row>
    <row r="445" spans="3:3">
      <c r="C445" s="5"/>
    </row>
    <row r="446" spans="3:3">
      <c r="C446" s="5"/>
    </row>
    <row r="447" spans="3:3">
      <c r="C447" s="5"/>
    </row>
    <row r="448" spans="3:3">
      <c r="C448" s="5"/>
    </row>
    <row r="449" spans="3:3">
      <c r="C449" s="5"/>
    </row>
    <row r="450" spans="3:3">
      <c r="C450" s="5"/>
    </row>
    <row r="451" spans="3:3">
      <c r="C451" s="5"/>
    </row>
    <row r="452" spans="3:3">
      <c r="C452" s="5"/>
    </row>
    <row r="453" spans="3:3">
      <c r="C453" s="5"/>
    </row>
    <row r="454" spans="3:3">
      <c r="C454" s="5"/>
    </row>
    <row r="455" spans="3:3">
      <c r="C455" s="5"/>
    </row>
    <row r="456" spans="3:3">
      <c r="C456" s="5"/>
    </row>
    <row r="457" spans="3:3">
      <c r="C457" s="5"/>
    </row>
    <row r="458" spans="3:3">
      <c r="C458" s="5"/>
    </row>
    <row r="459" spans="3:3">
      <c r="C459" s="5"/>
    </row>
    <row r="460" spans="3:3">
      <c r="C460" s="5"/>
    </row>
    <row r="461" spans="3:3">
      <c r="C461" s="5"/>
    </row>
    <row r="462" spans="3:3">
      <c r="C462" s="5"/>
    </row>
    <row r="463" spans="3:3">
      <c r="C463" s="5"/>
    </row>
    <row r="464" spans="3:3">
      <c r="C464" s="5"/>
    </row>
    <row r="465" spans="3:3">
      <c r="C465" s="5"/>
    </row>
    <row r="466" spans="3:3">
      <c r="C466" s="5"/>
    </row>
    <row r="467" spans="3:3">
      <c r="C467" s="5"/>
    </row>
    <row r="468" spans="3:3">
      <c r="C468" s="5"/>
    </row>
    <row r="469" spans="3:3">
      <c r="C469" s="5"/>
    </row>
    <row r="470" spans="3:3">
      <c r="C470" s="5"/>
    </row>
    <row r="471" spans="3:3">
      <c r="C471" s="5"/>
    </row>
    <row r="472" spans="3:3">
      <c r="C472" s="5"/>
    </row>
    <row r="473" spans="3:3">
      <c r="C473" s="5"/>
    </row>
    <row r="474" spans="3:3">
      <c r="C474" s="5"/>
    </row>
    <row r="475" spans="3:3">
      <c r="C475" s="5"/>
    </row>
    <row r="476" spans="3:3">
      <c r="C476" s="5"/>
    </row>
    <row r="477" spans="3:3">
      <c r="C477" s="5"/>
    </row>
    <row r="478" spans="3:3">
      <c r="C478" s="5"/>
    </row>
    <row r="479" spans="3:3">
      <c r="C479" s="5"/>
    </row>
    <row r="480" spans="3:3">
      <c r="C480" s="5"/>
    </row>
    <row r="481" spans="3:3">
      <c r="C481" s="5"/>
    </row>
    <row r="482" spans="3:3">
      <c r="C482" s="5"/>
    </row>
    <row r="483" spans="3:3">
      <c r="C483" s="5"/>
    </row>
    <row r="484" spans="3:3">
      <c r="C484" s="5"/>
    </row>
    <row r="485" spans="3:3">
      <c r="C485" s="5"/>
    </row>
    <row r="486" spans="3:3">
      <c r="C486" s="5"/>
    </row>
    <row r="487" spans="3:3">
      <c r="C487" s="5"/>
    </row>
    <row r="488" spans="3:3">
      <c r="C488" s="5"/>
    </row>
    <row r="489" spans="3:3">
      <c r="C489" s="5"/>
    </row>
    <row r="490" spans="3:3">
      <c r="C490" s="5"/>
    </row>
    <row r="491" spans="3:3">
      <c r="C491" s="5"/>
    </row>
    <row r="492" spans="3:3">
      <c r="C492" s="5"/>
    </row>
    <row r="493" spans="3:3">
      <c r="C493" s="5"/>
    </row>
    <row r="494" spans="3:3">
      <c r="C494" s="5"/>
    </row>
    <row r="495" spans="3:3">
      <c r="C495" s="5"/>
    </row>
    <row r="496" spans="3:3">
      <c r="C496" s="5"/>
    </row>
    <row r="497" spans="3:3">
      <c r="C497" s="5"/>
    </row>
    <row r="498" spans="3:3">
      <c r="C498" s="5"/>
    </row>
    <row r="499" spans="3:3">
      <c r="C499" s="5"/>
    </row>
    <row r="500" spans="3:3">
      <c r="C500" s="5"/>
    </row>
    <row r="501" spans="3:3">
      <c r="C501" s="5"/>
    </row>
    <row r="502" spans="3:3">
      <c r="C502" s="5"/>
    </row>
    <row r="503" spans="3:3">
      <c r="C503" s="5"/>
    </row>
    <row r="504" spans="3:3">
      <c r="C504" s="5"/>
    </row>
    <row r="505" spans="3:3">
      <c r="C505" s="5"/>
    </row>
    <row r="506" spans="3:3">
      <c r="C506" s="5"/>
    </row>
    <row r="507" spans="3:3">
      <c r="C507" s="5"/>
    </row>
    <row r="508" spans="3:3">
      <c r="C508" s="5"/>
    </row>
    <row r="509" spans="3:3">
      <c r="C509" s="5"/>
    </row>
    <row r="510" spans="3:3">
      <c r="C510" s="5"/>
    </row>
    <row r="511" spans="3:3">
      <c r="C511" s="5"/>
    </row>
    <row r="512" spans="3:3">
      <c r="C512" s="5"/>
    </row>
    <row r="513" spans="3:3">
      <c r="C513" s="5"/>
    </row>
    <row r="514" spans="3:3">
      <c r="C514" s="5"/>
    </row>
    <row r="515" spans="3:3">
      <c r="C515" s="5"/>
    </row>
    <row r="516" spans="3:3">
      <c r="C516" s="5"/>
    </row>
    <row r="517" spans="3:3">
      <c r="C517" s="5"/>
    </row>
    <row r="518" spans="3:3">
      <c r="C518" s="5"/>
    </row>
    <row r="519" spans="3:3">
      <c r="C519" s="5"/>
    </row>
    <row r="520" spans="3:3">
      <c r="C520" s="5"/>
    </row>
    <row r="521" spans="3:3">
      <c r="C521" s="5"/>
    </row>
    <row r="522" spans="3:3">
      <c r="C522" s="5"/>
    </row>
    <row r="523" spans="3:3">
      <c r="C523" s="5"/>
    </row>
    <row r="524" spans="3:3">
      <c r="C524" s="5"/>
    </row>
    <row r="525" spans="3:3">
      <c r="C525" s="5"/>
    </row>
    <row r="526" spans="3:3">
      <c r="C526" s="5"/>
    </row>
    <row r="527" spans="3:3">
      <c r="C527" s="5"/>
    </row>
    <row r="528" spans="3:3">
      <c r="C528" s="5"/>
    </row>
    <row r="529" spans="3:3">
      <c r="C529" s="5"/>
    </row>
    <row r="530" spans="3:3">
      <c r="C530" s="5"/>
    </row>
    <row r="531" spans="3:3">
      <c r="C531" s="5"/>
    </row>
    <row r="532" spans="3:3">
      <c r="C532" s="5"/>
    </row>
    <row r="533" spans="3:3">
      <c r="C533" s="5"/>
    </row>
    <row r="534" spans="3:3">
      <c r="C534" s="5"/>
    </row>
    <row r="535" spans="3:3">
      <c r="C535" s="5"/>
    </row>
    <row r="536" spans="3:3">
      <c r="C536" s="5"/>
    </row>
    <row r="537" spans="3:3">
      <c r="C537" s="5"/>
    </row>
    <row r="538" spans="3:3">
      <c r="C538" s="5"/>
    </row>
    <row r="539" spans="3:3">
      <c r="C539" s="5"/>
    </row>
    <row r="540" spans="3:3">
      <c r="C540" s="5"/>
    </row>
    <row r="541" spans="3:3">
      <c r="C541" s="5"/>
    </row>
    <row r="542" spans="3:3">
      <c r="C542" s="5"/>
    </row>
    <row r="543" spans="3:3">
      <c r="C543" s="5"/>
    </row>
    <row r="544" spans="3:3">
      <c r="C544" s="5"/>
    </row>
    <row r="545" spans="3:3">
      <c r="C545" s="5"/>
    </row>
    <row r="546" spans="3:3">
      <c r="C546" s="5"/>
    </row>
    <row r="547" spans="3:3">
      <c r="C547" s="5"/>
    </row>
    <row r="548" spans="3:3">
      <c r="C548" s="5"/>
    </row>
    <row r="549" spans="3:3">
      <c r="C549" s="5"/>
    </row>
    <row r="550" spans="3:3">
      <c r="C550" s="5"/>
    </row>
    <row r="551" spans="3:3">
      <c r="C551" s="5"/>
    </row>
    <row r="552" spans="3:3">
      <c r="C552" s="5"/>
    </row>
    <row r="553" spans="3:3">
      <c r="C553" s="5"/>
    </row>
    <row r="554" spans="3:3">
      <c r="C554" s="5"/>
    </row>
    <row r="555" spans="3:3">
      <c r="C555" s="5"/>
    </row>
    <row r="556" spans="3:3">
      <c r="C556" s="5"/>
    </row>
    <row r="557" spans="3:3">
      <c r="C557" s="5"/>
    </row>
    <row r="558" spans="3:3">
      <c r="C558" s="5"/>
    </row>
    <row r="559" spans="3:3">
      <c r="C559" s="5"/>
    </row>
    <row r="560" spans="3:3">
      <c r="C560" s="5"/>
    </row>
    <row r="561" spans="3:3">
      <c r="C561" s="5"/>
    </row>
    <row r="562" spans="3:3">
      <c r="C562" s="5"/>
    </row>
    <row r="563" spans="3:3">
      <c r="C563" s="5"/>
    </row>
    <row r="564" spans="3:3">
      <c r="C564" s="5"/>
    </row>
    <row r="565" spans="3:3">
      <c r="C565" s="5"/>
    </row>
    <row r="566" spans="3:3">
      <c r="C566" s="5"/>
    </row>
    <row r="567" spans="3:3">
      <c r="C567" s="5"/>
    </row>
    <row r="568" spans="3:3">
      <c r="C568" s="5"/>
    </row>
    <row r="569" spans="3:3">
      <c r="C569" s="5"/>
    </row>
    <row r="570" spans="3:3">
      <c r="C570" s="5"/>
    </row>
    <row r="571" spans="3:3">
      <c r="C571" s="5"/>
    </row>
    <row r="572" spans="3:3">
      <c r="C572" s="5"/>
    </row>
    <row r="573" spans="3:3">
      <c r="C573" s="5"/>
    </row>
    <row r="574" spans="3:3">
      <c r="C574" s="5"/>
    </row>
    <row r="575" spans="3:3">
      <c r="C575" s="5"/>
    </row>
    <row r="576" spans="3:3">
      <c r="C576" s="5"/>
    </row>
    <row r="577" spans="3:3">
      <c r="C577" s="5"/>
    </row>
    <row r="578" spans="3:3">
      <c r="C578" s="5"/>
    </row>
    <row r="579" spans="3:3">
      <c r="C579" s="5"/>
    </row>
    <row r="580" spans="3:3">
      <c r="C580" s="5"/>
    </row>
    <row r="581" spans="3:3">
      <c r="C581" s="5"/>
    </row>
    <row r="582" spans="3:3">
      <c r="C582" s="5"/>
    </row>
    <row r="583" spans="3:3">
      <c r="C583" s="5"/>
    </row>
    <row r="584" spans="3:3">
      <c r="C584" s="5"/>
    </row>
    <row r="585" spans="3:3">
      <c r="C585" s="5"/>
    </row>
    <row r="586" spans="3:3">
      <c r="C586" s="5"/>
    </row>
    <row r="587" spans="3:3">
      <c r="C587" s="5"/>
    </row>
    <row r="588" spans="3:3">
      <c r="C588" s="5"/>
    </row>
    <row r="589" spans="3:3">
      <c r="C589" s="5"/>
    </row>
    <row r="590" spans="3:3">
      <c r="C590" s="5"/>
    </row>
    <row r="591" spans="3:3">
      <c r="C591" s="5"/>
    </row>
    <row r="592" spans="3:3">
      <c r="C592" s="5"/>
    </row>
    <row r="593" spans="3:3">
      <c r="C593" s="5"/>
    </row>
    <row r="594" spans="3:3">
      <c r="C594" s="5"/>
    </row>
    <row r="595" spans="3:3">
      <c r="C595" s="5"/>
    </row>
    <row r="596" spans="3:3">
      <c r="C596" s="5"/>
    </row>
    <row r="597" spans="3:3">
      <c r="C597" s="5"/>
    </row>
    <row r="598" spans="3:3">
      <c r="C598" s="5"/>
    </row>
    <row r="599" spans="3:3">
      <c r="C599" s="5"/>
    </row>
    <row r="600" spans="3:3">
      <c r="C600" s="5"/>
    </row>
    <row r="601" spans="3:3">
      <c r="C601" s="5"/>
    </row>
    <row r="602" spans="3:3">
      <c r="C602" s="5"/>
    </row>
    <row r="603" spans="3:3">
      <c r="C603" s="5"/>
    </row>
    <row r="604" spans="3:3">
      <c r="C604" s="5"/>
    </row>
    <row r="605" spans="3:3">
      <c r="C605" s="5"/>
    </row>
    <row r="606" spans="3:3">
      <c r="C606" s="5"/>
    </row>
    <row r="607" spans="3:3">
      <c r="C607" s="5"/>
    </row>
    <row r="608" spans="3:3">
      <c r="C608" s="5"/>
    </row>
    <row r="609" spans="3:3">
      <c r="C609" s="5"/>
    </row>
    <row r="610" spans="3:3">
      <c r="C610" s="5"/>
    </row>
    <row r="611" spans="3:3">
      <c r="C611" s="5"/>
    </row>
    <row r="612" spans="3:3">
      <c r="C612" s="5"/>
    </row>
    <row r="613" spans="3:3">
      <c r="C613" s="5"/>
    </row>
    <row r="614" spans="3:3">
      <c r="C614" s="5"/>
    </row>
    <row r="615" spans="3:3">
      <c r="C615" s="5"/>
    </row>
    <row r="616" spans="3:3">
      <c r="C616" s="5"/>
    </row>
    <row r="617" spans="3:3">
      <c r="C617" s="5"/>
    </row>
    <row r="618" spans="3:3">
      <c r="C618" s="5"/>
    </row>
    <row r="619" spans="3:3">
      <c r="C619" s="5"/>
    </row>
    <row r="620" spans="3:3">
      <c r="C620" s="5"/>
    </row>
    <row r="621" spans="3:3">
      <c r="C621" s="5"/>
    </row>
    <row r="622" spans="3:3">
      <c r="C622" s="5"/>
    </row>
    <row r="623" spans="3:3">
      <c r="C623" s="5"/>
    </row>
    <row r="624" spans="3:3">
      <c r="C624" s="5"/>
    </row>
    <row r="625" spans="3:3">
      <c r="C625" s="5"/>
    </row>
    <row r="626" spans="3:3">
      <c r="C626" s="5"/>
    </row>
    <row r="627" spans="3:3">
      <c r="C627" s="5"/>
    </row>
    <row r="628" spans="3:3">
      <c r="C628" s="5"/>
    </row>
    <row r="629" spans="3:3">
      <c r="C629" s="5"/>
    </row>
    <row r="630" spans="3:3">
      <c r="C630" s="5"/>
    </row>
    <row r="631" spans="3:3">
      <c r="C631" s="5"/>
    </row>
    <row r="632" spans="3:3">
      <c r="C632" s="5"/>
    </row>
    <row r="633" spans="3:3">
      <c r="C633" s="5"/>
    </row>
    <row r="634" spans="3:3">
      <c r="C634" s="5"/>
    </row>
    <row r="635" spans="3:3">
      <c r="C635" s="5"/>
    </row>
    <row r="636" spans="3:3">
      <c r="C636" s="5"/>
    </row>
    <row r="637" spans="3:3">
      <c r="C637" s="5"/>
    </row>
    <row r="638" spans="3:3">
      <c r="C638" s="5"/>
    </row>
    <row r="639" spans="3:3">
      <c r="C639" s="5"/>
    </row>
    <row r="640" spans="3:3">
      <c r="C640" s="5"/>
    </row>
    <row r="641" spans="3:3">
      <c r="C641" s="5"/>
    </row>
    <row r="642" spans="3:3">
      <c r="C642" s="5"/>
    </row>
    <row r="643" spans="3:3">
      <c r="C643" s="5"/>
    </row>
    <row r="644" spans="3:3">
      <c r="C644" s="5"/>
    </row>
    <row r="645" spans="3:3">
      <c r="C645" s="5"/>
    </row>
    <row r="646" spans="3:3">
      <c r="C646" s="5"/>
    </row>
    <row r="647" spans="3:3">
      <c r="C647" s="5"/>
    </row>
    <row r="648" spans="3:3">
      <c r="C648" s="5"/>
    </row>
    <row r="649" spans="3:3">
      <c r="C649" s="5"/>
    </row>
    <row r="650" spans="3:3">
      <c r="C650" s="5"/>
    </row>
    <row r="651" spans="3:3">
      <c r="C651" s="5"/>
    </row>
    <row r="652" spans="3:3">
      <c r="C652" s="5"/>
    </row>
    <row r="653" spans="3:3">
      <c r="C653" s="5"/>
    </row>
    <row r="654" spans="3:3">
      <c r="C654" s="5"/>
    </row>
    <row r="655" spans="3:3">
      <c r="C655" s="5"/>
    </row>
    <row r="656" spans="3:3">
      <c r="C656" s="5"/>
    </row>
    <row r="657" spans="3:3">
      <c r="C657" s="5"/>
    </row>
    <row r="658" spans="3:3">
      <c r="C658" s="5"/>
    </row>
    <row r="659" spans="3:3">
      <c r="C659" s="5"/>
    </row>
    <row r="660" spans="3:3">
      <c r="C660" s="5"/>
    </row>
    <row r="661" spans="3:3">
      <c r="C661" s="5"/>
    </row>
    <row r="662" spans="3:3">
      <c r="C662" s="5"/>
    </row>
    <row r="663" spans="3:3">
      <c r="C663" s="5"/>
    </row>
    <row r="664" spans="3:3">
      <c r="C664" s="5"/>
    </row>
    <row r="665" spans="3:3">
      <c r="C665" s="5"/>
    </row>
    <row r="666" spans="3:3">
      <c r="C666" s="5"/>
    </row>
    <row r="667" spans="3:3">
      <c r="C667" s="5"/>
    </row>
    <row r="668" spans="3:3">
      <c r="C668" s="5"/>
    </row>
    <row r="669" spans="3:3">
      <c r="C669" s="5"/>
    </row>
    <row r="670" spans="3:3">
      <c r="C670" s="5"/>
    </row>
    <row r="671" spans="3:3">
      <c r="C671" s="5"/>
    </row>
    <row r="672" spans="3:3">
      <c r="C672" s="5"/>
    </row>
    <row r="673" spans="3:3">
      <c r="C673" s="5"/>
    </row>
    <row r="674" spans="3:3">
      <c r="C674" s="5"/>
    </row>
    <row r="675" spans="3:3">
      <c r="C675" s="5"/>
    </row>
    <row r="676" spans="3:3">
      <c r="C676" s="5"/>
    </row>
    <row r="677" spans="3:3">
      <c r="C677" s="5"/>
    </row>
    <row r="678" spans="3:3">
      <c r="C678" s="5"/>
    </row>
    <row r="679" spans="3:3">
      <c r="C679" s="5"/>
    </row>
    <row r="680" spans="3:3">
      <c r="C680" s="5"/>
    </row>
    <row r="681" spans="3:3">
      <c r="C681" s="5"/>
    </row>
    <row r="682" spans="3:3">
      <c r="C682" s="5"/>
    </row>
    <row r="683" spans="3:3">
      <c r="C683" s="5"/>
    </row>
    <row r="684" spans="3:3">
      <c r="C684" s="5"/>
    </row>
    <row r="685" spans="3:3">
      <c r="C685" s="5"/>
    </row>
    <row r="686" spans="3:3">
      <c r="C686" s="5"/>
    </row>
    <row r="687" spans="3:3">
      <c r="C687" s="5"/>
    </row>
    <row r="688" spans="3:3">
      <c r="C688" s="5"/>
    </row>
    <row r="689" spans="3:3">
      <c r="C689" s="5"/>
    </row>
    <row r="690" spans="3:3">
      <c r="C690" s="5"/>
    </row>
    <row r="691" spans="3:3">
      <c r="C691" s="5"/>
    </row>
    <row r="692" spans="3:3">
      <c r="C692" s="5"/>
    </row>
    <row r="693" spans="3:3">
      <c r="C693" s="5"/>
    </row>
    <row r="694" spans="3:3">
      <c r="C694" s="5"/>
    </row>
    <row r="695" spans="3:3">
      <c r="C695" s="5"/>
    </row>
    <row r="696" spans="3:3">
      <c r="C696" s="5"/>
    </row>
    <row r="697" spans="3:3">
      <c r="C697" s="5"/>
    </row>
    <row r="698" spans="3:3">
      <c r="C698" s="5"/>
    </row>
    <row r="699" spans="3:3">
      <c r="C699" s="5"/>
    </row>
    <row r="700" spans="3:3">
      <c r="C700" s="5"/>
    </row>
    <row r="701" spans="3:3">
      <c r="C701" s="5"/>
    </row>
    <row r="702" spans="3:3">
      <c r="C702" s="5"/>
    </row>
    <row r="703" spans="3:3">
      <c r="C703" s="5"/>
    </row>
    <row r="704" spans="3:3">
      <c r="C704" s="5"/>
    </row>
    <row r="705" spans="3:3">
      <c r="C705" s="5"/>
    </row>
    <row r="706" spans="3:3">
      <c r="C706" s="5"/>
    </row>
    <row r="707" spans="3:3">
      <c r="C707" s="5"/>
    </row>
    <row r="708" spans="3:3">
      <c r="C708" s="5"/>
    </row>
    <row r="709" spans="3:3">
      <c r="C709" s="5"/>
    </row>
    <row r="710" spans="3:3">
      <c r="C710" s="5"/>
    </row>
    <row r="711" spans="3:3">
      <c r="C711" s="5"/>
    </row>
    <row r="712" spans="3:3">
      <c r="C712" s="5"/>
    </row>
    <row r="713" spans="3:3">
      <c r="C713" s="5"/>
    </row>
    <row r="714" spans="3:3">
      <c r="C714" s="5"/>
    </row>
    <row r="715" spans="3:3">
      <c r="C715" s="5"/>
    </row>
    <row r="716" spans="3:3">
      <c r="C716" s="5"/>
    </row>
    <row r="717" spans="3:3">
      <c r="C717" s="5"/>
    </row>
    <row r="718" spans="3:3">
      <c r="C718" s="5"/>
    </row>
    <row r="719" spans="3:3">
      <c r="C719" s="5"/>
    </row>
    <row r="720" spans="3:3">
      <c r="C720" s="5"/>
    </row>
    <row r="721" spans="3:3">
      <c r="C721" s="5"/>
    </row>
    <row r="722" spans="3:3">
      <c r="C722" s="5"/>
    </row>
    <row r="723" spans="3:3">
      <c r="C723" s="5"/>
    </row>
    <row r="724" spans="3:3">
      <c r="C724" s="5"/>
    </row>
    <row r="725" spans="3:3">
      <c r="C725" s="5"/>
    </row>
    <row r="726" spans="3:3">
      <c r="C726" s="5"/>
    </row>
    <row r="727" spans="3:3">
      <c r="C727" s="5"/>
    </row>
    <row r="728" spans="3:3">
      <c r="C728" s="5"/>
    </row>
    <row r="729" spans="3:3">
      <c r="C729" s="5"/>
    </row>
    <row r="730" spans="3:3">
      <c r="C730" s="5"/>
    </row>
    <row r="731" spans="3:3">
      <c r="C731" s="5"/>
    </row>
    <row r="732" spans="3:3">
      <c r="C732" s="5"/>
    </row>
    <row r="733" spans="3:3">
      <c r="C733" s="5"/>
    </row>
    <row r="734" spans="3:3">
      <c r="C734" s="5"/>
    </row>
    <row r="735" spans="3:3">
      <c r="C735" s="5"/>
    </row>
    <row r="736" spans="3:3">
      <c r="C736" s="5"/>
    </row>
    <row r="737" spans="3:3">
      <c r="C737" s="5"/>
    </row>
    <row r="738" spans="3:3">
      <c r="C738" s="5"/>
    </row>
    <row r="739" spans="3:3">
      <c r="C739" s="5"/>
    </row>
    <row r="740" spans="3:3">
      <c r="C740" s="5"/>
    </row>
    <row r="741" spans="3:3">
      <c r="C741" s="5"/>
    </row>
    <row r="742" spans="3:3">
      <c r="C742" s="5"/>
    </row>
    <row r="743" spans="3:3">
      <c r="C743" s="5"/>
    </row>
    <row r="744" spans="3:3">
      <c r="C744" s="5"/>
    </row>
    <row r="745" spans="3:3">
      <c r="C745" s="5"/>
    </row>
    <row r="746" spans="3:3">
      <c r="C746" s="5"/>
    </row>
    <row r="747" spans="3:3">
      <c r="C747" s="5"/>
    </row>
    <row r="748" spans="3:3">
      <c r="C748" s="5"/>
    </row>
    <row r="749" spans="3:3">
      <c r="C749" s="5"/>
    </row>
    <row r="750" spans="3:3">
      <c r="C750" s="5"/>
    </row>
    <row r="751" spans="3:3">
      <c r="C751" s="5"/>
    </row>
    <row r="752" spans="3:3">
      <c r="C752" s="5"/>
    </row>
    <row r="753" spans="3:3">
      <c r="C753" s="5"/>
    </row>
    <row r="754" spans="3:3">
      <c r="C754" s="5"/>
    </row>
    <row r="755" spans="3:3">
      <c r="C755" s="5"/>
    </row>
    <row r="756" spans="3:3">
      <c r="C756" s="5"/>
    </row>
    <row r="757" spans="3:3">
      <c r="C757" s="5"/>
    </row>
    <row r="758" spans="3:3">
      <c r="C758" s="5"/>
    </row>
    <row r="759" spans="3:3">
      <c r="C759" s="5"/>
    </row>
    <row r="760" spans="3:3">
      <c r="C760" s="5"/>
    </row>
    <row r="761" spans="3:3">
      <c r="C761" s="5"/>
    </row>
    <row r="762" spans="3:3">
      <c r="C762" s="5"/>
    </row>
    <row r="763" spans="3:3">
      <c r="C763" s="5"/>
    </row>
    <row r="764" spans="3:3">
      <c r="C764" s="5"/>
    </row>
    <row r="765" spans="3:3">
      <c r="C765" s="5"/>
    </row>
    <row r="766" spans="3:3">
      <c r="C766" s="5"/>
    </row>
    <row r="767" spans="3:3">
      <c r="C767" s="5"/>
    </row>
    <row r="768" spans="3:3">
      <c r="C768" s="5"/>
    </row>
    <row r="769" spans="3:3">
      <c r="C769" s="5"/>
    </row>
    <row r="770" spans="3:3">
      <c r="C770" s="5"/>
    </row>
    <row r="771" spans="3:3">
      <c r="C771" s="5"/>
    </row>
    <row r="772" spans="3:3">
      <c r="C772" s="5"/>
    </row>
    <row r="773" spans="3:3">
      <c r="C773" s="5"/>
    </row>
    <row r="774" spans="3:3">
      <c r="C774" s="5"/>
    </row>
    <row r="775" spans="3:3">
      <c r="C775" s="5"/>
    </row>
    <row r="776" spans="3:3">
      <c r="C776" s="5"/>
    </row>
    <row r="777" spans="3:3">
      <c r="C777" s="5"/>
    </row>
    <row r="778" spans="3:3">
      <c r="C778" s="5"/>
    </row>
    <row r="779" spans="3:3">
      <c r="C779" s="5"/>
    </row>
    <row r="780" spans="3:3">
      <c r="C780" s="5"/>
    </row>
    <row r="781" spans="3:3">
      <c r="C781" s="5"/>
    </row>
    <row r="782" spans="3:3">
      <c r="C782" s="5"/>
    </row>
    <row r="783" spans="3:3">
      <c r="C783" s="5"/>
    </row>
    <row r="784" spans="3:3">
      <c r="C784" s="5"/>
    </row>
    <row r="785" spans="3:3">
      <c r="C785" s="5"/>
    </row>
    <row r="786" spans="3:3">
      <c r="C786" s="5"/>
    </row>
    <row r="787" spans="3:3">
      <c r="C787" s="5"/>
    </row>
    <row r="788" spans="3:3">
      <c r="C788" s="5"/>
    </row>
    <row r="789" spans="3:3">
      <c r="C789" s="5"/>
    </row>
    <row r="790" spans="3:3">
      <c r="C790" s="5"/>
    </row>
    <row r="791" spans="3:3">
      <c r="C791" s="5"/>
    </row>
    <row r="792" spans="3:3">
      <c r="C792" s="5"/>
    </row>
    <row r="793" spans="3:3">
      <c r="C793" s="5"/>
    </row>
    <row r="794" spans="3:3">
      <c r="C794" s="5"/>
    </row>
    <row r="795" spans="3:3">
      <c r="C795" s="5"/>
    </row>
    <row r="796" spans="3:3">
      <c r="C796" s="5"/>
    </row>
    <row r="797" spans="3:3">
      <c r="C797" s="5"/>
    </row>
    <row r="798" spans="3:3">
      <c r="C798" s="5"/>
    </row>
    <row r="799" spans="3:3">
      <c r="C799" s="5"/>
    </row>
    <row r="800" spans="3:3">
      <c r="C800" s="5"/>
    </row>
    <row r="801" spans="3:3">
      <c r="C801" s="5"/>
    </row>
    <row r="802" spans="3:3">
      <c r="C802" s="5"/>
    </row>
    <row r="803" spans="3:3">
      <c r="C803" s="5"/>
    </row>
    <row r="804" spans="3:3">
      <c r="C804" s="5"/>
    </row>
    <row r="805" spans="3:3">
      <c r="C805" s="5"/>
    </row>
    <row r="806" spans="3:3">
      <c r="C806" s="5"/>
    </row>
    <row r="807" spans="3:3">
      <c r="C807" s="5"/>
    </row>
    <row r="808" spans="3:3">
      <c r="C808" s="5"/>
    </row>
    <row r="809" spans="3:3">
      <c r="C809" s="5"/>
    </row>
    <row r="810" spans="3:3">
      <c r="C810" s="5"/>
    </row>
    <row r="811" spans="3:3">
      <c r="C811" s="5"/>
    </row>
    <row r="812" spans="3:3">
      <c r="C812" s="5"/>
    </row>
    <row r="813" spans="3:3">
      <c r="C813" s="5"/>
    </row>
    <row r="814" spans="3:3">
      <c r="C814" s="5"/>
    </row>
    <row r="815" spans="3:3">
      <c r="C815" s="5"/>
    </row>
    <row r="816" spans="3:3">
      <c r="C816" s="5"/>
    </row>
    <row r="817" spans="3:3">
      <c r="C817" s="5"/>
    </row>
    <row r="818" spans="3:3">
      <c r="C818" s="5"/>
    </row>
    <row r="819" spans="3:3">
      <c r="C819" s="5"/>
    </row>
    <row r="820" spans="3:3">
      <c r="C820" s="5"/>
    </row>
    <row r="821" spans="3:3">
      <c r="C821" s="5"/>
    </row>
    <row r="822" spans="3:3">
      <c r="C822" s="5"/>
    </row>
    <row r="823" spans="3:3">
      <c r="C823" s="5"/>
    </row>
    <row r="824" spans="3:3">
      <c r="C824" s="5"/>
    </row>
    <row r="825" spans="3:3">
      <c r="C825" s="5"/>
    </row>
    <row r="826" spans="3:3">
      <c r="C826" s="5"/>
    </row>
    <row r="827" spans="3:3">
      <c r="C827" s="5"/>
    </row>
    <row r="828" spans="3:3">
      <c r="C828" s="5"/>
    </row>
    <row r="829" spans="3:3">
      <c r="C829" s="5"/>
    </row>
    <row r="830" spans="3:3">
      <c r="C830" s="5"/>
    </row>
    <row r="831" spans="3:3">
      <c r="C831" s="5"/>
    </row>
    <row r="832" spans="3:3">
      <c r="C832" s="5"/>
    </row>
    <row r="833" spans="3:3">
      <c r="C833" s="5"/>
    </row>
    <row r="834" spans="3:3">
      <c r="C834" s="5"/>
    </row>
    <row r="835" spans="3:3">
      <c r="C835" s="5"/>
    </row>
    <row r="836" spans="3:3">
      <c r="C836" s="5"/>
    </row>
    <row r="837" spans="3:3">
      <c r="C837" s="5"/>
    </row>
    <row r="838" spans="3:3">
      <c r="C838" s="5"/>
    </row>
    <row r="839" spans="3:3">
      <c r="C839" s="5"/>
    </row>
    <row r="840" spans="3:3">
      <c r="C840" s="5"/>
    </row>
    <row r="841" spans="3:3">
      <c r="C841" s="5"/>
    </row>
    <row r="842" spans="3:3">
      <c r="C842" s="5"/>
    </row>
    <row r="843" spans="3:3">
      <c r="C843" s="5"/>
    </row>
    <row r="844" spans="3:3">
      <c r="C844" s="5"/>
    </row>
    <row r="845" spans="3:3">
      <c r="C845" s="5"/>
    </row>
    <row r="846" spans="3:3">
      <c r="C846" s="5"/>
    </row>
    <row r="847" spans="3:3">
      <c r="C847" s="5"/>
    </row>
    <row r="848" spans="3:3">
      <c r="C848" s="5"/>
    </row>
    <row r="849" spans="3:3">
      <c r="C849" s="5"/>
    </row>
    <row r="850" spans="3:3">
      <c r="C850" s="5"/>
    </row>
    <row r="851" spans="3:3">
      <c r="C851" s="5"/>
    </row>
    <row r="852" spans="3:3">
      <c r="C852" s="5"/>
    </row>
    <row r="853" spans="3:3">
      <c r="C853" s="5"/>
    </row>
    <row r="854" spans="3:3">
      <c r="C854" s="5"/>
    </row>
    <row r="855" spans="3:3">
      <c r="C855" s="5"/>
    </row>
    <row r="856" spans="3:3">
      <c r="C856" s="5"/>
    </row>
    <row r="857" spans="3:3">
      <c r="C857" s="5"/>
    </row>
    <row r="858" spans="3:3">
      <c r="C858" s="5"/>
    </row>
    <row r="859" spans="3:3">
      <c r="C859" s="5"/>
    </row>
    <row r="860" spans="3:3">
      <c r="C860" s="5"/>
    </row>
    <row r="861" spans="3:3">
      <c r="C861" s="5"/>
    </row>
    <row r="862" spans="3:3">
      <c r="C862" s="5"/>
    </row>
    <row r="863" spans="3:3">
      <c r="C863" s="5"/>
    </row>
    <row r="864" spans="3:3">
      <c r="C864" s="5"/>
    </row>
    <row r="865" spans="3:3">
      <c r="C865" s="5"/>
    </row>
    <row r="866" spans="3:3">
      <c r="C866" s="5"/>
    </row>
    <row r="867" spans="3:3">
      <c r="C867" s="5"/>
    </row>
    <row r="868" spans="3:3">
      <c r="C868" s="5"/>
    </row>
    <row r="869" spans="3:3">
      <c r="C869" s="5"/>
    </row>
    <row r="870" spans="3:3">
      <c r="C870" s="5"/>
    </row>
    <row r="871" spans="3:3">
      <c r="C871" s="5"/>
    </row>
    <row r="872" spans="3:3">
      <c r="C872" s="5"/>
    </row>
    <row r="873" spans="3:3">
      <c r="C873" s="5"/>
    </row>
    <row r="874" spans="3:3">
      <c r="C874" s="5"/>
    </row>
    <row r="875" spans="3:3">
      <c r="C875" s="5"/>
    </row>
    <row r="876" spans="3:3">
      <c r="C876" s="5"/>
    </row>
    <row r="877" spans="3:3">
      <c r="C877" s="5"/>
    </row>
    <row r="878" spans="3:3">
      <c r="C878" s="5"/>
    </row>
    <row r="879" spans="3:3">
      <c r="C879" s="5"/>
    </row>
    <row r="880" spans="3:3">
      <c r="C880" s="5"/>
    </row>
    <row r="881" spans="3:3">
      <c r="C881" s="5"/>
    </row>
    <row r="882" spans="3:3">
      <c r="C882" s="5"/>
    </row>
    <row r="883" spans="3:3">
      <c r="C883" s="5"/>
    </row>
    <row r="884" spans="3:3">
      <c r="C884" s="5"/>
    </row>
    <row r="885" spans="3:3">
      <c r="C885" s="5"/>
    </row>
    <row r="886" spans="3:3">
      <c r="C886" s="5"/>
    </row>
    <row r="887" spans="3:3">
      <c r="C887" s="5"/>
    </row>
    <row r="888" spans="3:3">
      <c r="C888" s="5"/>
    </row>
    <row r="889" spans="3:3">
      <c r="C889" s="5"/>
    </row>
    <row r="890" spans="3:3">
      <c r="C890" s="5"/>
    </row>
    <row r="891" spans="3:3">
      <c r="C891" s="5"/>
    </row>
    <row r="892" spans="3:3">
      <c r="C892" s="5"/>
    </row>
    <row r="893" spans="3:3">
      <c r="C893" s="5"/>
    </row>
    <row r="894" spans="3:3">
      <c r="C894" s="5"/>
    </row>
    <row r="895" spans="3:3">
      <c r="C895" s="5"/>
    </row>
    <row r="896" spans="3:3">
      <c r="C896" s="5"/>
    </row>
    <row r="897" spans="3:3">
      <c r="C897" s="5"/>
    </row>
    <row r="898" spans="3:3">
      <c r="C898" s="5"/>
    </row>
    <row r="899" spans="3:3">
      <c r="C899" s="5"/>
    </row>
    <row r="900" spans="3:3">
      <c r="C900" s="5"/>
    </row>
    <row r="901" spans="3:3">
      <c r="C901" s="5"/>
    </row>
    <row r="902" spans="3:3">
      <c r="C902" s="5"/>
    </row>
    <row r="903" spans="3:3">
      <c r="C903" s="5"/>
    </row>
    <row r="904" spans="3:3">
      <c r="C904" s="5"/>
    </row>
    <row r="905" spans="3:3">
      <c r="C905" s="5"/>
    </row>
    <row r="906" spans="3:3">
      <c r="C906" s="5"/>
    </row>
    <row r="907" spans="3:3">
      <c r="C907" s="5"/>
    </row>
    <row r="908" spans="3:3">
      <c r="C908" s="5"/>
    </row>
    <row r="909" spans="3:3">
      <c r="C909" s="5"/>
    </row>
    <row r="910" spans="3:3">
      <c r="C910" s="5"/>
    </row>
    <row r="911" spans="3:3">
      <c r="C911" s="5"/>
    </row>
    <row r="912" spans="3:3">
      <c r="C912" s="5"/>
    </row>
    <row r="913" spans="3:3">
      <c r="C913" s="5"/>
    </row>
    <row r="914" spans="3:3">
      <c r="C914" s="5"/>
    </row>
    <row r="915" spans="3:3">
      <c r="C915" s="5"/>
    </row>
    <row r="916" spans="3:3">
      <c r="C916" s="5"/>
    </row>
    <row r="917" spans="3:3">
      <c r="C917" s="5"/>
    </row>
    <row r="918" spans="3:3">
      <c r="C918" s="5"/>
    </row>
    <row r="919" spans="3:3">
      <c r="C919" s="5"/>
    </row>
    <row r="920" spans="3:3">
      <c r="C920" s="5"/>
    </row>
    <row r="921" spans="3:3">
      <c r="C921" s="5"/>
    </row>
    <row r="922" spans="3:3">
      <c r="C922" s="5"/>
    </row>
    <row r="923" spans="3:3">
      <c r="C923" s="5"/>
    </row>
    <row r="924" spans="3:3">
      <c r="C924" s="5"/>
    </row>
    <row r="925" spans="3:3">
      <c r="C925" s="5"/>
    </row>
    <row r="926" spans="3:3">
      <c r="C926" s="5"/>
    </row>
    <row r="927" spans="3:3">
      <c r="C927" s="5"/>
    </row>
    <row r="928" spans="3:3">
      <c r="C928" s="5"/>
    </row>
    <row r="929" spans="3:3">
      <c r="C929" s="5"/>
    </row>
    <row r="930" spans="3:3">
      <c r="C930" s="5"/>
    </row>
    <row r="931" spans="3:3">
      <c r="C931" s="5"/>
    </row>
    <row r="932" spans="3:3">
      <c r="C932" s="5"/>
    </row>
    <row r="933" spans="3:3">
      <c r="C933" s="5"/>
    </row>
    <row r="934" spans="3:3">
      <c r="C934" s="5"/>
    </row>
    <row r="935" spans="3:3">
      <c r="C935" s="5"/>
    </row>
    <row r="936" spans="3:3">
      <c r="C936" s="5"/>
    </row>
    <row r="937" spans="3:3">
      <c r="C937" s="5"/>
    </row>
    <row r="938" spans="3:3">
      <c r="C938" s="5"/>
    </row>
    <row r="939" spans="3:3">
      <c r="C939" s="5"/>
    </row>
    <row r="940" spans="3:3">
      <c r="C940" s="5"/>
    </row>
    <row r="941" spans="3:3">
      <c r="C941" s="5"/>
    </row>
    <row r="942" spans="3:3">
      <c r="C942" s="5"/>
    </row>
    <row r="943" spans="3:3">
      <c r="C943" s="5"/>
    </row>
    <row r="944" spans="3:3">
      <c r="C944" s="5"/>
    </row>
    <row r="945" spans="3:3">
      <c r="C945" s="5"/>
    </row>
    <row r="946" spans="3:3">
      <c r="C946" s="5"/>
    </row>
    <row r="947" spans="3:3">
      <c r="C947" s="5"/>
    </row>
    <row r="948" spans="3:3">
      <c r="C948" s="5"/>
    </row>
    <row r="949" spans="3:3">
      <c r="C949" s="5"/>
    </row>
    <row r="950" spans="3:3">
      <c r="C950" s="5"/>
    </row>
    <row r="951" spans="3:3">
      <c r="C951" s="5"/>
    </row>
    <row r="952" spans="3:3">
      <c r="C952" s="5"/>
    </row>
    <row r="953" spans="3:3">
      <c r="C953" s="5"/>
    </row>
    <row r="954" spans="3:3">
      <c r="C954" s="5"/>
    </row>
    <row r="955" spans="3:3">
      <c r="C955" s="5"/>
    </row>
    <row r="956" spans="3:3">
      <c r="C956" s="5"/>
    </row>
    <row r="957" spans="3:3">
      <c r="C957" s="5"/>
    </row>
    <row r="958" spans="3:3">
      <c r="C958" s="5"/>
    </row>
    <row r="959" spans="3:3">
      <c r="C959" s="5"/>
    </row>
    <row r="960" spans="3:3">
      <c r="C960" s="5"/>
    </row>
    <row r="961" spans="3:3">
      <c r="C961" s="5"/>
    </row>
    <row r="962" spans="3:3">
      <c r="C962" s="5"/>
    </row>
    <row r="963" spans="3:3">
      <c r="C963" s="5"/>
    </row>
    <row r="964" spans="3:3">
      <c r="C964" s="5"/>
    </row>
    <row r="965" spans="3:3">
      <c r="C965" s="5"/>
    </row>
    <row r="966" spans="3:3">
      <c r="C966" s="5"/>
    </row>
    <row r="967" spans="3:3">
      <c r="C967" s="5"/>
    </row>
    <row r="968" spans="3:3">
      <c r="C968" s="5"/>
    </row>
    <row r="969" spans="3:3">
      <c r="C969" s="5"/>
    </row>
    <row r="970" spans="3:3">
      <c r="C970" s="5"/>
    </row>
    <row r="971" spans="3:3">
      <c r="C971" s="5"/>
    </row>
    <row r="972" spans="3:3">
      <c r="C972" s="5"/>
    </row>
    <row r="973" spans="3:3">
      <c r="C973" s="5"/>
    </row>
    <row r="974" spans="3:3">
      <c r="C974" s="5"/>
    </row>
    <row r="975" spans="3:3">
      <c r="C975" s="5"/>
    </row>
    <row r="976" spans="3:3">
      <c r="C976" s="5"/>
    </row>
    <row r="977" spans="3:3">
      <c r="C977" s="5"/>
    </row>
    <row r="978" spans="3:3">
      <c r="C978" s="5"/>
    </row>
    <row r="979" spans="3:3">
      <c r="C979" s="5"/>
    </row>
    <row r="980" spans="3:3">
      <c r="C980" s="5"/>
    </row>
    <row r="981" spans="3:3">
      <c r="C981" s="5"/>
    </row>
    <row r="982" spans="3:3">
      <c r="C982" s="5"/>
    </row>
    <row r="983" spans="3:3">
      <c r="C983" s="5"/>
    </row>
    <row r="984" spans="3:3">
      <c r="C984" s="5"/>
    </row>
    <row r="985" spans="3:3">
      <c r="C985" s="5"/>
    </row>
    <row r="986" spans="3:3">
      <c r="C986" s="5"/>
    </row>
    <row r="987" spans="3:3">
      <c r="C987" s="5"/>
    </row>
    <row r="988" spans="3:3">
      <c r="C988" s="5"/>
    </row>
    <row r="989" spans="3:3">
      <c r="C989" s="5"/>
    </row>
    <row r="990" spans="3:3">
      <c r="C990" s="5"/>
    </row>
    <row r="991" spans="3:3">
      <c r="C991" s="5"/>
    </row>
    <row r="992" spans="3:3">
      <c r="C992" s="5"/>
    </row>
    <row r="993" spans="3:3">
      <c r="C993" s="5"/>
    </row>
    <row r="994" spans="3:3">
      <c r="C994" s="5"/>
    </row>
    <row r="995" spans="3:3">
      <c r="C995" s="5"/>
    </row>
    <row r="996" spans="3:3">
      <c r="C996" s="5"/>
    </row>
    <row r="997" spans="3:3">
      <c r="C997" s="5"/>
    </row>
    <row r="998" spans="3:3">
      <c r="C998" s="5"/>
    </row>
    <row r="999" spans="3:3">
      <c r="C999" s="5"/>
    </row>
    <row r="1000" spans="3:3">
      <c r="C1000" s="5"/>
    </row>
    <row r="1001" spans="3:3">
      <c r="C1001" s="5"/>
    </row>
    <row r="1002" spans="3:3">
      <c r="C1002" s="5"/>
    </row>
    <row r="1003" spans="3:3">
      <c r="C1003" s="5"/>
    </row>
    <row r="1004" spans="3:3">
      <c r="C1004" s="5"/>
    </row>
    <row r="1005" spans="3:3">
      <c r="C1005" s="5"/>
    </row>
    <row r="1006" spans="3:3">
      <c r="C1006" s="5"/>
    </row>
    <row r="1007" spans="3:3">
      <c r="C1007" s="5"/>
    </row>
    <row r="1008" spans="3:3">
      <c r="C1008" s="5"/>
    </row>
    <row r="1009" spans="3:3">
      <c r="C1009" s="5"/>
    </row>
    <row r="1010" spans="3:3">
      <c r="C1010" s="5"/>
    </row>
    <row r="1011" spans="3:3">
      <c r="C1011" s="5"/>
    </row>
    <row r="1012" spans="3:3">
      <c r="C1012" s="5"/>
    </row>
    <row r="1013" spans="3:3">
      <c r="C1013" s="5"/>
    </row>
    <row r="1014" spans="3:3">
      <c r="C1014" s="5"/>
    </row>
    <row r="1015" spans="3:3">
      <c r="C1015" s="5"/>
    </row>
    <row r="1016" spans="3:3">
      <c r="C1016" s="5"/>
    </row>
    <row r="1017" spans="3:3">
      <c r="C1017" s="5"/>
    </row>
    <row r="1018" spans="3:3">
      <c r="C1018" s="5"/>
    </row>
    <row r="1019" spans="3:3">
      <c r="C1019" s="5"/>
    </row>
    <row r="1020" spans="3:3">
      <c r="C1020" s="5"/>
    </row>
  </sheetData>
  <mergeCells count="1">
    <mergeCell ref="B1:C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B800"/>
  <sheetViews>
    <sheetView workbookViewId="0">
      <pane ySplit="1" topLeftCell="A2" activePane="bottomLeft" state="frozen"/>
      <selection pane="bottomLeft" activeCell="B3" sqref="B3"/>
    </sheetView>
  </sheetViews>
  <sheetFormatPr defaultColWidth="12.5703125" defaultRowHeight="15" customHeight="1"/>
  <cols>
    <col min="1" max="1" width="3.7109375" customWidth="1"/>
    <col min="2" max="2" width="5.5703125" customWidth="1"/>
    <col min="3" max="3" width="5.42578125" customWidth="1"/>
    <col min="4" max="4" width="10.42578125" customWidth="1"/>
    <col min="5" max="5" width="3.140625" customWidth="1"/>
    <col min="6" max="6" width="43.42578125" customWidth="1"/>
    <col min="7" max="7" width="17.85546875" customWidth="1"/>
    <col min="8" max="8" width="12.42578125" customWidth="1"/>
    <col min="9" max="10" width="7.42578125" customWidth="1"/>
    <col min="11" max="11" width="6.42578125" customWidth="1"/>
    <col min="12" max="12" width="8.42578125" customWidth="1"/>
    <col min="13" max="13" width="5.42578125" customWidth="1"/>
    <col min="14" max="14" width="4.7109375" customWidth="1"/>
    <col min="15" max="16" width="7.42578125" customWidth="1"/>
    <col min="17" max="17" width="18.28515625" customWidth="1"/>
    <col min="18" max="18" width="5.7109375" customWidth="1"/>
    <col min="19" max="19" width="5.5703125" customWidth="1"/>
    <col min="20" max="21" width="6.5703125" customWidth="1"/>
    <col min="22" max="22" width="6" customWidth="1"/>
    <col min="23" max="23" width="6.5703125" customWidth="1"/>
    <col min="24" max="24" width="7.42578125" customWidth="1"/>
    <col min="25" max="25" width="21.5703125" customWidth="1"/>
    <col min="26" max="28" width="31.85546875" customWidth="1"/>
  </cols>
  <sheetData>
    <row r="1" spans="1:28" ht="45" customHeight="1">
      <c r="A1" s="31" t="s">
        <v>9</v>
      </c>
      <c r="B1" s="33" t="str">
        <f>HYPERLINK("#rangeid=2086300674","Content Owner")</f>
        <v>Content Owner</v>
      </c>
      <c r="C1" s="35" t="str">
        <f>HYPERLINK("#rangeid=632369931","Video Owner")</f>
        <v>Video Owner</v>
      </c>
      <c r="D1" s="36" t="s">
        <v>87</v>
      </c>
      <c r="E1" s="37" t="s">
        <v>221</v>
      </c>
      <c r="F1" s="38" t="s">
        <v>223</v>
      </c>
      <c r="G1" s="31" t="s">
        <v>230</v>
      </c>
      <c r="H1" s="40" t="s">
        <v>232</v>
      </c>
      <c r="I1" s="41" t="s">
        <v>233</v>
      </c>
      <c r="J1" s="31" t="s">
        <v>234</v>
      </c>
      <c r="K1" s="42" t="s">
        <v>235</v>
      </c>
      <c r="L1" s="31" t="s">
        <v>236</v>
      </c>
      <c r="M1" s="31" t="s">
        <v>237</v>
      </c>
      <c r="N1" s="31" t="s">
        <v>238</v>
      </c>
      <c r="O1" s="31" t="s">
        <v>239</v>
      </c>
      <c r="P1" s="31" t="s">
        <v>240</v>
      </c>
      <c r="Q1" s="31" t="s">
        <v>241</v>
      </c>
      <c r="R1" s="43" t="s">
        <v>242</v>
      </c>
      <c r="S1" s="43" t="s">
        <v>243</v>
      </c>
      <c r="T1" s="43" t="s">
        <v>89</v>
      </c>
      <c r="U1" s="44" t="s">
        <v>244</v>
      </c>
      <c r="V1" s="45" t="s">
        <v>245</v>
      </c>
      <c r="W1" s="46" t="str">
        <f>HYPERLINK("#rangeid=120001109","Replay")</f>
        <v>Replay</v>
      </c>
      <c r="X1" s="47" t="s">
        <v>246</v>
      </c>
      <c r="Y1" s="48" t="s">
        <v>247</v>
      </c>
      <c r="Z1" s="49" t="s">
        <v>248</v>
      </c>
      <c r="AA1" s="50"/>
      <c r="AB1" s="50"/>
    </row>
    <row r="2" spans="1:28">
      <c r="A2" s="51">
        <v>1</v>
      </c>
      <c r="B2" s="52" t="s">
        <v>97</v>
      </c>
      <c r="C2" s="53"/>
      <c r="D2" s="54" t="s">
        <v>120</v>
      </c>
      <c r="E2" s="51" t="s">
        <v>249</v>
      </c>
      <c r="F2" s="55" t="s">
        <v>250</v>
      </c>
      <c r="G2" s="56"/>
      <c r="H2" s="57"/>
      <c r="I2" s="51"/>
      <c r="J2" s="51">
        <f>7*1000</f>
        <v>7000</v>
      </c>
      <c r="K2" s="58">
        <v>9.6296296296296303E-3</v>
      </c>
      <c r="L2" s="59" t="s">
        <v>251</v>
      </c>
      <c r="M2" s="51"/>
      <c r="N2" s="51"/>
      <c r="O2" s="51"/>
      <c r="P2" s="60">
        <v>42989</v>
      </c>
      <c r="Q2" s="37" t="str">
        <f t="shared" ref="Q2:Q758" ca="1" si="0">HYPERLINK(IF(INT(A2)-A2=0,"",REPLACE(INDIRECT("MasterList!e"&amp;INT(A2)+1),25,8,"embed/")&amp;"?start="&amp;HOUR(M2)*3600+MINUTE(M2)*60+SECOND(M2)&amp;"&amp;end="&amp;HOUR(N2)*3600+MINUTE(N2)*60+SECOND(N2)&amp;"&amp;autoplay=1"))</f>
        <v/>
      </c>
      <c r="R2" s="52"/>
      <c r="S2" s="52"/>
      <c r="T2" s="52"/>
      <c r="U2" s="61"/>
      <c r="V2" s="62"/>
      <c r="W2" s="63"/>
      <c r="X2" s="64"/>
      <c r="Y2" s="51"/>
      <c r="Z2" s="51"/>
      <c r="AA2" s="51"/>
      <c r="AB2" s="51"/>
    </row>
    <row r="3" spans="1:28">
      <c r="A3" s="51">
        <v>2</v>
      </c>
      <c r="B3" s="52" t="s">
        <v>97</v>
      </c>
      <c r="C3" s="53"/>
      <c r="D3" s="54" t="s">
        <v>120</v>
      </c>
      <c r="E3" s="51" t="s">
        <v>252</v>
      </c>
      <c r="F3" s="55" t="s">
        <v>253</v>
      </c>
      <c r="G3" s="56"/>
      <c r="H3" s="57"/>
      <c r="I3" s="51"/>
      <c r="J3" s="51">
        <f>4*1000</f>
        <v>4000</v>
      </c>
      <c r="K3" s="58">
        <v>1.0289351851851852E-2</v>
      </c>
      <c r="L3" s="59" t="s">
        <v>251</v>
      </c>
      <c r="M3" s="51"/>
      <c r="N3" s="51"/>
      <c r="O3" s="51"/>
      <c r="P3" s="60">
        <v>42989</v>
      </c>
      <c r="Q3" s="37" t="str">
        <f t="shared" ca="1" si="0"/>
        <v/>
      </c>
      <c r="R3" s="52"/>
      <c r="S3" s="52"/>
      <c r="T3" s="52"/>
      <c r="U3" s="61"/>
      <c r="V3" s="62"/>
      <c r="W3" s="63"/>
      <c r="X3" s="64"/>
      <c r="Y3" s="51"/>
      <c r="Z3" s="51"/>
      <c r="AA3" s="51"/>
      <c r="AB3" s="51"/>
    </row>
    <row r="4" spans="1:28">
      <c r="A4" s="51">
        <v>3</v>
      </c>
      <c r="B4" s="52" t="s">
        <v>97</v>
      </c>
      <c r="C4" s="53"/>
      <c r="D4" s="54" t="s">
        <v>120</v>
      </c>
      <c r="E4" s="51" t="s">
        <v>254</v>
      </c>
      <c r="F4" s="55" t="s">
        <v>255</v>
      </c>
      <c r="G4" s="56"/>
      <c r="H4" s="57"/>
      <c r="I4" s="51"/>
      <c r="J4" s="51">
        <f>826</f>
        <v>826</v>
      </c>
      <c r="K4" s="58">
        <v>2.1643518518518518E-3</v>
      </c>
      <c r="L4" s="59" t="s">
        <v>251</v>
      </c>
      <c r="M4" s="51"/>
      <c r="N4" s="51"/>
      <c r="O4" s="51"/>
      <c r="P4" s="60">
        <v>42990</v>
      </c>
      <c r="Q4" s="37" t="str">
        <f t="shared" ca="1" si="0"/>
        <v/>
      </c>
      <c r="R4" s="52"/>
      <c r="S4" s="52"/>
      <c r="T4" s="52"/>
      <c r="U4" s="61"/>
      <c r="V4" s="62"/>
      <c r="W4" s="63"/>
      <c r="X4" s="64"/>
      <c r="Y4" s="51"/>
      <c r="Z4" s="51"/>
      <c r="AA4" s="51"/>
      <c r="AB4" s="51"/>
    </row>
    <row r="5" spans="1:28">
      <c r="A5" s="51">
        <v>4</v>
      </c>
      <c r="B5" s="52" t="s">
        <v>97</v>
      </c>
      <c r="C5" s="53"/>
      <c r="D5" s="54" t="s">
        <v>120</v>
      </c>
      <c r="E5" s="51" t="s">
        <v>256</v>
      </c>
      <c r="F5" s="55" t="s">
        <v>257</v>
      </c>
      <c r="G5" s="56"/>
      <c r="H5" s="57"/>
      <c r="I5" s="51"/>
      <c r="J5" s="51">
        <f>10*1000</f>
        <v>10000</v>
      </c>
      <c r="K5" s="58">
        <v>9.7222222222222209E-4</v>
      </c>
      <c r="L5" s="59" t="s">
        <v>251</v>
      </c>
      <c r="M5" s="51"/>
      <c r="N5" s="51"/>
      <c r="O5" s="51"/>
      <c r="P5" s="60">
        <v>42990</v>
      </c>
      <c r="Q5" s="37" t="str">
        <f t="shared" ca="1" si="0"/>
        <v/>
      </c>
      <c r="R5" s="52"/>
      <c r="S5" s="52"/>
      <c r="T5" s="52"/>
      <c r="U5" s="61"/>
      <c r="V5" s="62"/>
      <c r="W5" s="63"/>
      <c r="X5" s="64"/>
      <c r="Y5" s="51"/>
      <c r="Z5" s="51"/>
      <c r="AA5" s="51"/>
      <c r="AB5" s="51"/>
    </row>
    <row r="6" spans="1:28">
      <c r="A6" s="51">
        <v>5</v>
      </c>
      <c r="B6" s="52" t="s">
        <v>97</v>
      </c>
      <c r="C6" s="53"/>
      <c r="D6" s="54" t="s">
        <v>120</v>
      </c>
      <c r="E6" s="51" t="s">
        <v>258</v>
      </c>
      <c r="F6" s="55" t="s">
        <v>259</v>
      </c>
      <c r="G6" s="56"/>
      <c r="H6" s="57"/>
      <c r="I6" s="51"/>
      <c r="J6" s="51">
        <f>749</f>
        <v>749</v>
      </c>
      <c r="K6" s="58">
        <v>4.0509259259259258E-4</v>
      </c>
      <c r="L6" s="59" t="s">
        <v>251</v>
      </c>
      <c r="M6" s="51"/>
      <c r="N6" s="51"/>
      <c r="O6" s="51"/>
      <c r="P6" s="60">
        <v>42990</v>
      </c>
      <c r="Q6" s="37" t="str">
        <f t="shared" ca="1" si="0"/>
        <v/>
      </c>
      <c r="R6" s="52"/>
      <c r="S6" s="52"/>
      <c r="T6" s="52"/>
      <c r="U6" s="61"/>
      <c r="V6" s="62"/>
      <c r="W6" s="63"/>
      <c r="X6" s="64"/>
      <c r="Y6" s="51"/>
      <c r="Z6" s="51"/>
      <c r="AA6" s="51"/>
      <c r="AB6" s="51"/>
    </row>
    <row r="7" spans="1:28">
      <c r="A7" s="51">
        <v>6</v>
      </c>
      <c r="B7" s="52" t="s">
        <v>97</v>
      </c>
      <c r="C7" s="53"/>
      <c r="D7" s="54" t="s">
        <v>120</v>
      </c>
      <c r="E7" s="51" t="s">
        <v>260</v>
      </c>
      <c r="F7" s="55" t="s">
        <v>261</v>
      </c>
      <c r="G7" s="65"/>
      <c r="H7" s="57"/>
      <c r="I7" s="51"/>
      <c r="J7" s="51">
        <f>1.7*1000</f>
        <v>1700</v>
      </c>
      <c r="K7" s="58">
        <v>3.9930555555555561E-3</v>
      </c>
      <c r="L7" s="59" t="s">
        <v>251</v>
      </c>
      <c r="M7" s="51"/>
      <c r="N7" s="51"/>
      <c r="O7" s="51"/>
      <c r="P7" s="60">
        <v>42990</v>
      </c>
      <c r="Q7" s="37" t="str">
        <f t="shared" ca="1" si="0"/>
        <v/>
      </c>
      <c r="R7" s="52"/>
      <c r="S7" s="52"/>
      <c r="T7" s="52"/>
      <c r="U7" s="61"/>
      <c r="V7" s="62"/>
      <c r="W7" s="63"/>
      <c r="X7" s="64"/>
      <c r="Y7" s="51"/>
      <c r="Z7" s="51"/>
      <c r="AA7" s="51"/>
      <c r="AB7" s="51"/>
    </row>
    <row r="8" spans="1:28">
      <c r="A8" s="51">
        <v>7</v>
      </c>
      <c r="B8" s="52" t="s">
        <v>97</v>
      </c>
      <c r="C8" s="53"/>
      <c r="D8" s="54" t="s">
        <v>120</v>
      </c>
      <c r="E8" s="51" t="s">
        <v>262</v>
      </c>
      <c r="F8" s="55" t="s">
        <v>263</v>
      </c>
      <c r="G8" s="56"/>
      <c r="H8" s="57"/>
      <c r="I8" s="51"/>
      <c r="J8" s="51">
        <f>5.1*1000</f>
        <v>5100</v>
      </c>
      <c r="K8" s="58">
        <v>3.3680555555555551E-3</v>
      </c>
      <c r="L8" s="59" t="s">
        <v>251</v>
      </c>
      <c r="M8" s="51"/>
      <c r="N8" s="51"/>
      <c r="O8" s="51"/>
      <c r="P8" s="60">
        <v>42990</v>
      </c>
      <c r="Q8" s="37" t="str">
        <f t="shared" ca="1" si="0"/>
        <v/>
      </c>
      <c r="R8" s="52"/>
      <c r="S8" s="52"/>
      <c r="T8" s="52"/>
      <c r="U8" s="61"/>
      <c r="V8" s="62"/>
      <c r="W8" s="63"/>
      <c r="X8" s="64"/>
      <c r="Y8" s="51"/>
      <c r="Z8" s="51"/>
      <c r="AA8" s="51"/>
      <c r="AB8" s="51"/>
    </row>
    <row r="9" spans="1:28">
      <c r="A9" s="51">
        <v>8</v>
      </c>
      <c r="B9" s="52" t="s">
        <v>97</v>
      </c>
      <c r="C9" s="53"/>
      <c r="D9" s="54" t="s">
        <v>120</v>
      </c>
      <c r="E9" s="51" t="s">
        <v>264</v>
      </c>
      <c r="F9" s="55" t="s">
        <v>265</v>
      </c>
      <c r="G9" s="56"/>
      <c r="H9" s="57"/>
      <c r="I9" s="51"/>
      <c r="J9" s="51">
        <f>1.9*1000</f>
        <v>1900</v>
      </c>
      <c r="K9" s="58">
        <v>1.037037037037037E-2</v>
      </c>
      <c r="L9" s="59" t="s">
        <v>251</v>
      </c>
      <c r="M9" s="51"/>
      <c r="N9" s="51"/>
      <c r="O9" s="51"/>
      <c r="P9" s="60">
        <v>42990</v>
      </c>
      <c r="Q9" s="37" t="str">
        <f t="shared" ca="1" si="0"/>
        <v/>
      </c>
      <c r="R9" s="52"/>
      <c r="S9" s="52"/>
      <c r="T9" s="52"/>
      <c r="U9" s="61"/>
      <c r="V9" s="62"/>
      <c r="W9" s="63"/>
      <c r="X9" s="64"/>
      <c r="Y9" s="51"/>
      <c r="Z9" s="51"/>
      <c r="AA9" s="51"/>
      <c r="AB9" s="51"/>
    </row>
    <row r="10" spans="1:28">
      <c r="A10" s="51">
        <v>9</v>
      </c>
      <c r="B10" s="52" t="s">
        <v>97</v>
      </c>
      <c r="C10" s="53"/>
      <c r="D10" s="54" t="s">
        <v>120</v>
      </c>
      <c r="E10" s="51" t="s">
        <v>266</v>
      </c>
      <c r="F10" s="55" t="s">
        <v>267</v>
      </c>
      <c r="G10" s="56"/>
      <c r="H10" s="57"/>
      <c r="I10" s="51"/>
      <c r="J10" s="51">
        <f>1.7*1000</f>
        <v>1700</v>
      </c>
      <c r="K10" s="58">
        <v>3.472222222222222E-3</v>
      </c>
      <c r="L10" s="59" t="s">
        <v>251</v>
      </c>
      <c r="M10" s="51"/>
      <c r="N10" s="51"/>
      <c r="O10" s="51"/>
      <c r="P10" s="60">
        <v>42990</v>
      </c>
      <c r="Q10" s="37" t="str">
        <f t="shared" ca="1" si="0"/>
        <v/>
      </c>
      <c r="R10" s="52"/>
      <c r="S10" s="52"/>
      <c r="T10" s="52"/>
      <c r="U10" s="61"/>
      <c r="V10" s="62"/>
      <c r="W10" s="63"/>
      <c r="X10" s="64"/>
      <c r="Y10" s="51"/>
      <c r="Z10" s="51"/>
      <c r="AA10" s="51"/>
      <c r="AB10" s="51"/>
    </row>
    <row r="11" spans="1:28">
      <c r="A11" s="51">
        <v>10</v>
      </c>
      <c r="B11" s="52" t="s">
        <v>97</v>
      </c>
      <c r="C11" s="53"/>
      <c r="D11" s="54" t="s">
        <v>120</v>
      </c>
      <c r="E11" s="51" t="s">
        <v>268</v>
      </c>
      <c r="F11" s="55" t="s">
        <v>269</v>
      </c>
      <c r="G11" s="56"/>
      <c r="H11" s="57"/>
      <c r="I11" s="51"/>
      <c r="J11" s="51">
        <f>490</f>
        <v>490</v>
      </c>
      <c r="K11" s="58">
        <v>3.0324074074074073E-3</v>
      </c>
      <c r="L11" s="59" t="s">
        <v>251</v>
      </c>
      <c r="M11" s="51"/>
      <c r="N11" s="51"/>
      <c r="O11" s="51"/>
      <c r="P11" s="60">
        <v>42990</v>
      </c>
      <c r="Q11" s="37" t="str">
        <f t="shared" ca="1" si="0"/>
        <v/>
      </c>
      <c r="R11" s="52"/>
      <c r="S11" s="52"/>
      <c r="T11" s="52"/>
      <c r="U11" s="61"/>
      <c r="V11" s="62"/>
      <c r="W11" s="63"/>
      <c r="X11" s="64"/>
      <c r="Y11" s="51"/>
      <c r="Z11" s="51"/>
      <c r="AA11" s="51"/>
      <c r="AB11" s="51"/>
    </row>
    <row r="12" spans="1:28">
      <c r="A12" s="51">
        <v>11</v>
      </c>
      <c r="B12" s="52" t="s">
        <v>97</v>
      </c>
      <c r="C12" s="53"/>
      <c r="D12" s="54" t="s">
        <v>120</v>
      </c>
      <c r="E12" s="51" t="s">
        <v>270</v>
      </c>
      <c r="F12" s="55" t="s">
        <v>271</v>
      </c>
      <c r="G12" s="56"/>
      <c r="H12" s="57"/>
      <c r="I12" s="51"/>
      <c r="J12" s="51">
        <f>551</f>
        <v>551</v>
      </c>
      <c r="K12" s="58">
        <v>2.4189814814814816E-3</v>
      </c>
      <c r="L12" s="59" t="s">
        <v>251</v>
      </c>
      <c r="M12" s="51"/>
      <c r="N12" s="51"/>
      <c r="O12" s="51"/>
      <c r="P12" s="60">
        <v>42991</v>
      </c>
      <c r="Q12" s="37" t="str">
        <f t="shared" ca="1" si="0"/>
        <v/>
      </c>
      <c r="R12" s="52"/>
      <c r="S12" s="52"/>
      <c r="T12" s="52"/>
      <c r="U12" s="61"/>
      <c r="V12" s="62"/>
      <c r="W12" s="63"/>
      <c r="X12" s="64"/>
      <c r="Y12" s="51"/>
      <c r="Z12" s="51"/>
      <c r="AA12" s="51"/>
      <c r="AB12" s="51"/>
    </row>
    <row r="13" spans="1:28">
      <c r="A13" s="51">
        <v>12</v>
      </c>
      <c r="B13" s="52" t="s">
        <v>97</v>
      </c>
      <c r="C13" s="53"/>
      <c r="D13" s="54" t="s">
        <v>120</v>
      </c>
      <c r="E13" s="51" t="s">
        <v>272</v>
      </c>
      <c r="F13" s="55" t="s">
        <v>273</v>
      </c>
      <c r="G13" s="57"/>
      <c r="H13" s="56"/>
      <c r="I13" s="56"/>
      <c r="J13" s="56">
        <v>384</v>
      </c>
      <c r="K13" s="58">
        <v>2.2222222222222222E-3</v>
      </c>
      <c r="L13" s="59" t="s">
        <v>251</v>
      </c>
      <c r="M13" s="51"/>
      <c r="N13" s="51"/>
      <c r="O13" s="51"/>
      <c r="P13" s="60">
        <v>42991</v>
      </c>
      <c r="Q13" s="37" t="str">
        <f t="shared" ca="1" si="0"/>
        <v/>
      </c>
      <c r="R13" s="52"/>
      <c r="S13" s="52"/>
      <c r="T13" s="52"/>
      <c r="U13" s="61"/>
      <c r="V13" s="62"/>
      <c r="W13" s="63"/>
      <c r="X13" s="64"/>
      <c r="Y13" s="51"/>
      <c r="Z13" s="51"/>
      <c r="AA13" s="51"/>
      <c r="AB13" s="51"/>
    </row>
    <row r="14" spans="1:28">
      <c r="A14" s="51">
        <v>13</v>
      </c>
      <c r="B14" s="52" t="s">
        <v>97</v>
      </c>
      <c r="C14" s="53"/>
      <c r="D14" s="54" t="s">
        <v>120</v>
      </c>
      <c r="E14" s="51" t="s">
        <v>274</v>
      </c>
      <c r="F14" s="55" t="s">
        <v>275</v>
      </c>
      <c r="G14" s="51"/>
      <c r="H14" s="57"/>
      <c r="I14" s="51"/>
      <c r="J14" s="51">
        <f>1.5*1000</f>
        <v>1500</v>
      </c>
      <c r="K14" s="58">
        <v>3.530092592592592E-3</v>
      </c>
      <c r="L14" s="59" t="s">
        <v>251</v>
      </c>
      <c r="M14" s="51"/>
      <c r="N14" s="51"/>
      <c r="O14" s="51"/>
      <c r="P14" s="60">
        <v>42991</v>
      </c>
      <c r="Q14" s="37" t="str">
        <f t="shared" ca="1" si="0"/>
        <v/>
      </c>
      <c r="R14" s="52"/>
      <c r="S14" s="52"/>
      <c r="T14" s="52"/>
      <c r="U14" s="61"/>
      <c r="V14" s="62"/>
      <c r="W14" s="63"/>
      <c r="X14" s="64"/>
      <c r="Y14" s="51"/>
      <c r="Z14" s="51"/>
      <c r="AA14" s="51"/>
      <c r="AB14" s="51"/>
    </row>
    <row r="15" spans="1:28">
      <c r="A15" s="51">
        <v>14</v>
      </c>
      <c r="B15" s="52" t="s">
        <v>97</v>
      </c>
      <c r="C15" s="53"/>
      <c r="D15" s="54" t="s">
        <v>120</v>
      </c>
      <c r="E15" s="51" t="s">
        <v>276</v>
      </c>
      <c r="F15" s="55" t="s">
        <v>277</v>
      </c>
      <c r="G15" s="56"/>
      <c r="H15" s="57"/>
      <c r="I15" s="51"/>
      <c r="J15" s="51">
        <f>595</f>
        <v>595</v>
      </c>
      <c r="K15" s="58">
        <v>4.0740740740740746E-3</v>
      </c>
      <c r="L15" s="59" t="s">
        <v>251</v>
      </c>
      <c r="M15" s="51"/>
      <c r="N15" s="51"/>
      <c r="O15" s="51"/>
      <c r="P15" s="60">
        <v>42991</v>
      </c>
      <c r="Q15" s="37" t="str">
        <f t="shared" ca="1" si="0"/>
        <v/>
      </c>
      <c r="R15" s="52"/>
      <c r="S15" s="52"/>
      <c r="T15" s="52"/>
      <c r="U15" s="61"/>
      <c r="V15" s="62"/>
      <c r="W15" s="63"/>
      <c r="X15" s="64"/>
      <c r="Y15" s="51"/>
      <c r="Z15" s="51"/>
      <c r="AA15" s="51"/>
      <c r="AB15" s="51"/>
    </row>
    <row r="16" spans="1:28">
      <c r="A16" s="51">
        <v>15</v>
      </c>
      <c r="B16" s="52" t="s">
        <v>97</v>
      </c>
      <c r="C16" s="53"/>
      <c r="D16" s="54" t="s">
        <v>120</v>
      </c>
      <c r="E16" s="51" t="s">
        <v>278</v>
      </c>
      <c r="F16" s="55" t="s">
        <v>279</v>
      </c>
      <c r="G16" s="56"/>
      <c r="H16" s="57"/>
      <c r="I16" s="51"/>
      <c r="J16" s="51">
        <f>477</f>
        <v>477</v>
      </c>
      <c r="K16" s="58">
        <v>2.673611111111111E-3</v>
      </c>
      <c r="L16" s="59" t="s">
        <v>251</v>
      </c>
      <c r="M16" s="51"/>
      <c r="N16" s="51"/>
      <c r="O16" s="51"/>
      <c r="P16" s="60">
        <v>42991</v>
      </c>
      <c r="Q16" s="37" t="str">
        <f t="shared" ca="1" si="0"/>
        <v/>
      </c>
      <c r="R16" s="52"/>
      <c r="S16" s="52"/>
      <c r="T16" s="52"/>
      <c r="U16" s="61"/>
      <c r="V16" s="62"/>
      <c r="W16" s="63"/>
      <c r="X16" s="64"/>
      <c r="Y16" s="51"/>
      <c r="Z16" s="51"/>
      <c r="AA16" s="51"/>
      <c r="AB16" s="51"/>
    </row>
    <row r="17" spans="1:28">
      <c r="A17" s="51">
        <v>16</v>
      </c>
      <c r="B17" s="52" t="s">
        <v>97</v>
      </c>
      <c r="C17" s="53"/>
      <c r="D17" s="54" t="s">
        <v>120</v>
      </c>
      <c r="E17" s="51" t="s">
        <v>280</v>
      </c>
      <c r="F17" s="55" t="s">
        <v>281</v>
      </c>
      <c r="G17" s="56"/>
      <c r="H17" s="57"/>
      <c r="I17" s="51"/>
      <c r="J17" s="51">
        <f>506</f>
        <v>506</v>
      </c>
      <c r="K17" s="58">
        <v>5.7175925925925927E-3</v>
      </c>
      <c r="L17" s="59" t="s">
        <v>251</v>
      </c>
      <c r="M17" s="51"/>
      <c r="N17" s="51"/>
      <c r="O17" s="51"/>
      <c r="P17" s="60">
        <v>42991</v>
      </c>
      <c r="Q17" s="37" t="str">
        <f t="shared" ca="1" si="0"/>
        <v/>
      </c>
      <c r="R17" s="52"/>
      <c r="S17" s="52"/>
      <c r="T17" s="52"/>
      <c r="U17" s="61"/>
      <c r="V17" s="62"/>
      <c r="W17" s="63"/>
      <c r="X17" s="64"/>
      <c r="Y17" s="51"/>
      <c r="Z17" s="51"/>
      <c r="AA17" s="51"/>
      <c r="AB17" s="51"/>
    </row>
    <row r="18" spans="1:28">
      <c r="A18" s="51">
        <v>17</v>
      </c>
      <c r="B18" s="69" t="s">
        <v>131</v>
      </c>
      <c r="C18" s="53"/>
      <c r="D18" s="54"/>
      <c r="E18" s="51" t="s">
        <v>282</v>
      </c>
      <c r="F18" s="55" t="s">
        <v>283</v>
      </c>
      <c r="G18" s="56"/>
      <c r="H18" s="57"/>
      <c r="I18" s="51"/>
      <c r="J18" s="51">
        <f>343</f>
        <v>343</v>
      </c>
      <c r="K18" s="58">
        <v>2.7430555555555559E-3</v>
      </c>
      <c r="L18" s="59" t="s">
        <v>251</v>
      </c>
      <c r="M18" s="51"/>
      <c r="N18" s="51"/>
      <c r="O18" s="51"/>
      <c r="P18" s="60"/>
      <c r="Q18" s="37" t="str">
        <f t="shared" ca="1" si="0"/>
        <v/>
      </c>
      <c r="R18" s="52"/>
      <c r="S18" s="52"/>
      <c r="T18" s="52"/>
      <c r="U18" s="61"/>
      <c r="V18" s="62"/>
      <c r="W18" s="63"/>
      <c r="X18" s="64"/>
      <c r="Y18" s="51"/>
      <c r="Z18" s="51"/>
      <c r="AA18" s="51"/>
      <c r="AB18" s="51"/>
    </row>
    <row r="19" spans="1:28">
      <c r="A19" s="51">
        <v>18</v>
      </c>
      <c r="B19" s="52"/>
      <c r="C19" s="53"/>
      <c r="D19" s="54"/>
      <c r="E19" s="51" t="s">
        <v>286</v>
      </c>
      <c r="F19" s="55" t="s">
        <v>287</v>
      </c>
      <c r="G19" s="56"/>
      <c r="H19" s="57"/>
      <c r="I19" s="51"/>
      <c r="J19" s="51">
        <f>1*1000</f>
        <v>1000</v>
      </c>
      <c r="K19" s="58">
        <v>2.4652777777777776E-3</v>
      </c>
      <c r="L19" s="59" t="s">
        <v>251</v>
      </c>
      <c r="M19" s="51"/>
      <c r="N19" s="51"/>
      <c r="O19" s="51"/>
      <c r="P19" s="60"/>
      <c r="Q19" s="37" t="str">
        <f t="shared" ca="1" si="0"/>
        <v/>
      </c>
      <c r="R19" s="52"/>
      <c r="S19" s="52"/>
      <c r="T19" s="52"/>
      <c r="U19" s="61"/>
      <c r="V19" s="62"/>
      <c r="W19" s="63"/>
      <c r="X19" s="64"/>
      <c r="Y19" s="51"/>
      <c r="Z19" s="51"/>
      <c r="AA19" s="51"/>
      <c r="AB19" s="51"/>
    </row>
    <row r="20" spans="1:28">
      <c r="A20" s="51">
        <v>19</v>
      </c>
      <c r="B20" s="69" t="s">
        <v>131</v>
      </c>
      <c r="C20" s="53"/>
      <c r="D20" s="54"/>
      <c r="E20" s="51" t="s">
        <v>288</v>
      </c>
      <c r="F20" s="55" t="s">
        <v>289</v>
      </c>
      <c r="G20" s="56"/>
      <c r="H20" s="57"/>
      <c r="I20" s="51"/>
      <c r="J20" s="51">
        <f>378</f>
        <v>378</v>
      </c>
      <c r="K20" s="58">
        <v>1.1226851851851851E-3</v>
      </c>
      <c r="L20" s="59" t="s">
        <v>251</v>
      </c>
      <c r="M20" s="51"/>
      <c r="N20" s="51"/>
      <c r="O20" s="51"/>
      <c r="P20" s="60"/>
      <c r="Q20" s="37" t="str">
        <f t="shared" ca="1" si="0"/>
        <v/>
      </c>
      <c r="R20" s="52"/>
      <c r="S20" s="52"/>
      <c r="T20" s="52"/>
      <c r="U20" s="61"/>
      <c r="V20" s="62"/>
      <c r="W20" s="63"/>
      <c r="X20" s="64"/>
      <c r="Y20" s="51"/>
      <c r="Z20" s="51"/>
      <c r="AA20" s="51"/>
      <c r="AB20" s="51"/>
    </row>
    <row r="21" spans="1:28">
      <c r="A21" s="51">
        <v>20</v>
      </c>
      <c r="B21" s="52" t="s">
        <v>118</v>
      </c>
      <c r="C21" s="53"/>
      <c r="D21" s="54" t="s">
        <v>120</v>
      </c>
      <c r="E21" s="51" t="s">
        <v>290</v>
      </c>
      <c r="F21" s="55" t="s">
        <v>291</v>
      </c>
      <c r="G21" s="56"/>
      <c r="H21" s="57"/>
      <c r="I21" s="51"/>
      <c r="J21" s="51">
        <f>8.5*1000</f>
        <v>8500</v>
      </c>
      <c r="K21" s="58">
        <v>7.1874999999999994E-3</v>
      </c>
      <c r="L21" s="59" t="s">
        <v>251</v>
      </c>
      <c r="M21" s="51"/>
      <c r="N21" s="51"/>
      <c r="O21" s="51"/>
      <c r="P21" s="72">
        <v>42990</v>
      </c>
      <c r="Q21" s="37" t="str">
        <f t="shared" ca="1" si="0"/>
        <v/>
      </c>
      <c r="R21" s="74"/>
      <c r="S21" s="74"/>
      <c r="T21" s="74"/>
      <c r="U21" s="61"/>
      <c r="V21" s="62"/>
      <c r="W21" s="63"/>
      <c r="X21" s="64"/>
      <c r="Y21" s="54"/>
      <c r="Z21" s="54"/>
      <c r="AA21" s="54"/>
      <c r="AB21" s="54"/>
    </row>
    <row r="22" spans="1:28">
      <c r="A22" s="51">
        <v>21</v>
      </c>
      <c r="B22" s="52"/>
      <c r="C22" s="61"/>
      <c r="D22" s="51"/>
      <c r="E22" s="51" t="s">
        <v>293</v>
      </c>
      <c r="F22" s="55" t="s">
        <v>294</v>
      </c>
      <c r="G22" s="56"/>
      <c r="H22" s="57"/>
      <c r="I22" s="51"/>
      <c r="J22" s="51">
        <f>3.2*1000</f>
        <v>3200</v>
      </c>
      <c r="K22" s="58">
        <v>1.3078703703703705E-3</v>
      </c>
      <c r="L22" s="59" t="s">
        <v>251</v>
      </c>
      <c r="M22" s="77"/>
      <c r="N22" s="77"/>
      <c r="O22" s="51"/>
      <c r="P22" s="51"/>
      <c r="Q22" s="37" t="str">
        <f t="shared" ca="1" si="0"/>
        <v/>
      </c>
      <c r="R22" s="52"/>
      <c r="S22" s="52"/>
      <c r="T22" s="52"/>
      <c r="U22" s="61"/>
      <c r="V22" s="62"/>
      <c r="W22" s="63"/>
      <c r="X22" s="64"/>
      <c r="Y22" s="51"/>
      <c r="Z22" s="51"/>
      <c r="AA22" s="51"/>
      <c r="AB22" s="51"/>
    </row>
    <row r="23" spans="1:28">
      <c r="A23" s="51">
        <v>22</v>
      </c>
      <c r="B23" s="52" t="s">
        <v>118</v>
      </c>
      <c r="C23" s="53"/>
      <c r="D23" s="54" t="s">
        <v>120</v>
      </c>
      <c r="E23" s="51" t="s">
        <v>297</v>
      </c>
      <c r="F23" s="55" t="s">
        <v>298</v>
      </c>
      <c r="G23" s="56"/>
      <c r="H23" s="57"/>
      <c r="I23" s="51"/>
      <c r="J23" s="51">
        <f>4.9*1000</f>
        <v>4900</v>
      </c>
      <c r="K23" s="58">
        <v>9.2939814814814812E-3</v>
      </c>
      <c r="L23" s="59" t="s">
        <v>251</v>
      </c>
      <c r="M23" s="77"/>
      <c r="N23" s="77"/>
      <c r="O23" s="51"/>
      <c r="P23" s="72">
        <v>42990</v>
      </c>
      <c r="Q23" s="37" t="str">
        <f t="shared" ca="1" si="0"/>
        <v/>
      </c>
      <c r="R23" s="74"/>
      <c r="S23" s="74"/>
      <c r="T23" s="74"/>
      <c r="U23" s="61"/>
      <c r="V23" s="62"/>
      <c r="W23" s="63"/>
      <c r="X23" s="64"/>
      <c r="Y23" s="51"/>
      <c r="Z23" s="51"/>
      <c r="AA23" s="51"/>
      <c r="AB23" s="51"/>
    </row>
    <row r="24" spans="1:28">
      <c r="A24" s="51">
        <v>23</v>
      </c>
      <c r="B24" s="52" t="s">
        <v>118</v>
      </c>
      <c r="C24" s="53"/>
      <c r="D24" s="54" t="s">
        <v>120</v>
      </c>
      <c r="E24" s="51" t="s">
        <v>301</v>
      </c>
      <c r="F24" s="55" t="s">
        <v>302</v>
      </c>
      <c r="G24" s="56"/>
      <c r="H24" s="57"/>
      <c r="I24" s="51"/>
      <c r="J24" s="51">
        <f>3.6*1000</f>
        <v>3600</v>
      </c>
      <c r="K24" s="58">
        <v>7.4768518518518526E-3</v>
      </c>
      <c r="L24" s="59" t="s">
        <v>251</v>
      </c>
      <c r="M24" s="77"/>
      <c r="N24" s="77"/>
      <c r="O24" s="18"/>
      <c r="P24" s="72">
        <v>42991</v>
      </c>
      <c r="Q24" s="37" t="str">
        <f t="shared" ca="1" si="0"/>
        <v/>
      </c>
      <c r="R24" s="74"/>
      <c r="S24" s="74"/>
      <c r="T24" s="74"/>
      <c r="U24" s="61"/>
      <c r="V24" s="62"/>
      <c r="W24" s="63"/>
      <c r="X24" s="64"/>
      <c r="Y24" s="51"/>
      <c r="Z24" s="51"/>
      <c r="AA24" s="51"/>
      <c r="AB24" s="51"/>
    </row>
    <row r="25" spans="1:28">
      <c r="A25" s="51">
        <v>24</v>
      </c>
      <c r="B25" s="69" t="s">
        <v>118</v>
      </c>
      <c r="C25" s="53"/>
      <c r="D25" s="54" t="s">
        <v>120</v>
      </c>
      <c r="E25" s="51" t="s">
        <v>305</v>
      </c>
      <c r="F25" s="55" t="s">
        <v>306</v>
      </c>
      <c r="G25" s="56"/>
      <c r="H25" s="57"/>
      <c r="I25" s="51"/>
      <c r="J25" s="51">
        <f>2.4*1000</f>
        <v>2400</v>
      </c>
      <c r="K25" s="58">
        <v>8.2523148148148148E-3</v>
      </c>
      <c r="L25" s="59" t="s">
        <v>251</v>
      </c>
      <c r="M25" s="77"/>
      <c r="N25" s="77"/>
      <c r="O25" s="18"/>
      <c r="P25" s="72">
        <v>43008</v>
      </c>
      <c r="Q25" s="37" t="str">
        <f t="shared" ca="1" si="0"/>
        <v/>
      </c>
      <c r="R25" s="69"/>
      <c r="S25" s="69"/>
      <c r="T25" s="69"/>
      <c r="U25" s="61"/>
      <c r="V25" s="62"/>
      <c r="W25" s="63"/>
      <c r="X25" s="78"/>
      <c r="Y25" s="51"/>
      <c r="Z25" s="51"/>
      <c r="AA25" s="51"/>
      <c r="AB25" s="51"/>
    </row>
    <row r="26" spans="1:28">
      <c r="A26" s="51">
        <v>25</v>
      </c>
      <c r="B26" s="69" t="s">
        <v>118</v>
      </c>
      <c r="C26" s="53"/>
      <c r="D26" s="54" t="s">
        <v>120</v>
      </c>
      <c r="E26" s="51" t="s">
        <v>310</v>
      </c>
      <c r="F26" s="55" t="s">
        <v>311</v>
      </c>
      <c r="G26" s="56"/>
      <c r="H26" s="57"/>
      <c r="I26" s="51"/>
      <c r="J26" s="51">
        <f>2.1*1000</f>
        <v>2100</v>
      </c>
      <c r="K26" s="58">
        <v>9.618055555555555E-3</v>
      </c>
      <c r="L26" s="59" t="s">
        <v>251</v>
      </c>
      <c r="M26" s="77"/>
      <c r="N26" s="77"/>
      <c r="O26" s="18"/>
      <c r="P26" s="72">
        <v>43008</v>
      </c>
      <c r="Q26" s="37" t="str">
        <f t="shared" ca="1" si="0"/>
        <v/>
      </c>
      <c r="R26" s="69"/>
      <c r="S26" s="69"/>
      <c r="T26" s="69"/>
      <c r="U26" s="61"/>
      <c r="V26" s="62"/>
      <c r="W26" s="63"/>
      <c r="X26" s="78"/>
      <c r="Y26" s="51"/>
      <c r="Z26" s="51"/>
      <c r="AA26" s="51"/>
      <c r="AB26" s="51"/>
    </row>
    <row r="27" spans="1:28">
      <c r="A27" s="51">
        <v>26</v>
      </c>
      <c r="B27" s="52" t="s">
        <v>118</v>
      </c>
      <c r="C27" s="53"/>
      <c r="D27" s="54" t="s">
        <v>120</v>
      </c>
      <c r="E27" s="51" t="s">
        <v>314</v>
      </c>
      <c r="F27" s="55" t="s">
        <v>315</v>
      </c>
      <c r="G27" s="56"/>
      <c r="H27" s="57"/>
      <c r="I27" s="51"/>
      <c r="J27" s="51">
        <f>14*1000</f>
        <v>14000</v>
      </c>
      <c r="K27" s="58">
        <v>7.4884259259259262E-3</v>
      </c>
      <c r="L27" s="59" t="s">
        <v>251</v>
      </c>
      <c r="M27" s="77"/>
      <c r="N27" s="77"/>
      <c r="O27" s="18"/>
      <c r="P27" s="72">
        <v>42991</v>
      </c>
      <c r="Q27" s="37" t="str">
        <f t="shared" ca="1" si="0"/>
        <v/>
      </c>
      <c r="R27" s="74"/>
      <c r="S27" s="74"/>
      <c r="T27" s="74"/>
      <c r="U27" s="61"/>
      <c r="V27" s="62"/>
      <c r="W27" s="63"/>
      <c r="X27" s="64"/>
      <c r="Y27" s="51"/>
      <c r="Z27" s="51"/>
      <c r="AA27" s="51"/>
      <c r="AB27" s="51"/>
    </row>
    <row r="28" spans="1:28">
      <c r="A28" s="51">
        <v>27</v>
      </c>
      <c r="B28" s="52" t="s">
        <v>118</v>
      </c>
      <c r="C28" s="53"/>
      <c r="D28" s="54" t="s">
        <v>120</v>
      </c>
      <c r="E28" s="51" t="s">
        <v>318</v>
      </c>
      <c r="F28" s="55" t="s">
        <v>319</v>
      </c>
      <c r="G28" s="56"/>
      <c r="H28" s="57"/>
      <c r="I28" s="51"/>
      <c r="J28" s="51">
        <f>15*1000</f>
        <v>15000</v>
      </c>
      <c r="K28" s="58">
        <v>3.2407407407407406E-3</v>
      </c>
      <c r="L28" s="59" t="s">
        <v>251</v>
      </c>
      <c r="M28" s="77"/>
      <c r="N28" s="77"/>
      <c r="O28" s="18"/>
      <c r="P28" s="51"/>
      <c r="Q28" s="37" t="str">
        <f t="shared" ca="1" si="0"/>
        <v/>
      </c>
      <c r="R28" s="52"/>
      <c r="S28" s="52"/>
      <c r="T28" s="52"/>
      <c r="U28" s="61"/>
      <c r="V28" s="62"/>
      <c r="W28" s="63"/>
      <c r="X28" s="64"/>
      <c r="Y28" s="65"/>
      <c r="Z28" s="65"/>
      <c r="AA28" s="65"/>
      <c r="AB28" s="65"/>
    </row>
    <row r="29" spans="1:28">
      <c r="A29" s="51">
        <v>28</v>
      </c>
      <c r="B29" s="52" t="s">
        <v>118</v>
      </c>
      <c r="C29" s="53"/>
      <c r="D29" s="54" t="s">
        <v>120</v>
      </c>
      <c r="E29" s="51" t="s">
        <v>322</v>
      </c>
      <c r="F29" s="55" t="s">
        <v>323</v>
      </c>
      <c r="G29" s="56"/>
      <c r="H29" s="57"/>
      <c r="I29" s="51"/>
      <c r="J29" s="51">
        <f>9.3*1000</f>
        <v>9300</v>
      </c>
      <c r="K29" s="58">
        <v>8.0671296296296307E-3</v>
      </c>
      <c r="L29" s="59" t="s">
        <v>251</v>
      </c>
      <c r="M29" s="77"/>
      <c r="N29" s="77"/>
      <c r="O29" s="18"/>
      <c r="P29" s="72">
        <v>42991</v>
      </c>
      <c r="Q29" s="37" t="str">
        <f t="shared" ca="1" si="0"/>
        <v/>
      </c>
      <c r="R29" s="74"/>
      <c r="S29" s="74"/>
      <c r="T29" s="74"/>
      <c r="U29" s="61"/>
      <c r="V29" s="62"/>
      <c r="W29" s="63"/>
      <c r="X29" s="64"/>
      <c r="Y29" s="51"/>
      <c r="Z29" s="51"/>
      <c r="AA29" s="51"/>
      <c r="AB29" s="51"/>
    </row>
    <row r="30" spans="1:28">
      <c r="A30" s="51">
        <v>29</v>
      </c>
      <c r="B30" s="52" t="s">
        <v>118</v>
      </c>
      <c r="C30" s="53"/>
      <c r="D30" s="54" t="s">
        <v>120</v>
      </c>
      <c r="E30" s="51" t="s">
        <v>325</v>
      </c>
      <c r="F30" s="55" t="s">
        <v>326</v>
      </c>
      <c r="G30" s="56"/>
      <c r="H30" s="57"/>
      <c r="I30" s="51"/>
      <c r="J30" s="51">
        <f>35*1000</f>
        <v>35000</v>
      </c>
      <c r="K30" s="58">
        <v>7.6851851851851847E-3</v>
      </c>
      <c r="L30" s="59" t="s">
        <v>251</v>
      </c>
      <c r="M30" s="77"/>
      <c r="N30" s="77"/>
      <c r="O30" s="51"/>
      <c r="P30" s="72">
        <v>42992</v>
      </c>
      <c r="Q30" s="37" t="str">
        <f t="shared" ca="1" si="0"/>
        <v/>
      </c>
      <c r="R30" s="74"/>
      <c r="S30" s="74"/>
      <c r="T30" s="74"/>
      <c r="U30" s="61"/>
      <c r="V30" s="62"/>
      <c r="W30" s="63"/>
      <c r="X30" s="64"/>
      <c r="Y30" s="51"/>
      <c r="Z30" s="51"/>
      <c r="AA30" s="51"/>
      <c r="AB30" s="51"/>
    </row>
    <row r="31" spans="1:28">
      <c r="A31" s="51">
        <v>30</v>
      </c>
      <c r="B31" s="69" t="s">
        <v>131</v>
      </c>
      <c r="C31" s="61"/>
      <c r="D31" s="51"/>
      <c r="E31" s="51" t="s">
        <v>332</v>
      </c>
      <c r="F31" s="55" t="s">
        <v>333</v>
      </c>
      <c r="G31" s="56"/>
      <c r="H31" s="57"/>
      <c r="I31" s="51"/>
      <c r="J31" s="51">
        <f>6.9*1000</f>
        <v>6900</v>
      </c>
      <c r="K31" s="58">
        <v>5.208333333333333E-3</v>
      </c>
      <c r="L31" s="59" t="s">
        <v>251</v>
      </c>
      <c r="M31" s="77"/>
      <c r="N31" s="77"/>
      <c r="O31" s="51"/>
      <c r="P31" s="51"/>
      <c r="Q31" s="37" t="str">
        <f t="shared" ca="1" si="0"/>
        <v/>
      </c>
      <c r="R31" s="52"/>
      <c r="S31" s="52"/>
      <c r="T31" s="52"/>
      <c r="U31" s="61"/>
      <c r="V31" s="62"/>
      <c r="W31" s="63"/>
      <c r="X31" s="64"/>
      <c r="Y31" s="51"/>
      <c r="Z31" s="51"/>
      <c r="AA31" s="51"/>
      <c r="AB31" s="51"/>
    </row>
    <row r="32" spans="1:28">
      <c r="A32" s="51">
        <v>31</v>
      </c>
      <c r="B32" s="52"/>
      <c r="C32" s="61"/>
      <c r="D32" s="51"/>
      <c r="E32" s="51" t="s">
        <v>335</v>
      </c>
      <c r="F32" s="55" t="s">
        <v>336</v>
      </c>
      <c r="G32" s="56"/>
      <c r="H32" s="57"/>
      <c r="I32" s="51"/>
      <c r="J32" s="51">
        <f>645</f>
        <v>645</v>
      </c>
      <c r="K32" s="58">
        <v>4.8611111111111112E-3</v>
      </c>
      <c r="L32" s="59" t="s">
        <v>251</v>
      </c>
      <c r="M32" s="77"/>
      <c r="N32" s="77"/>
      <c r="O32" s="51"/>
      <c r="P32" s="51"/>
      <c r="Q32" s="37" t="str">
        <f t="shared" ca="1" si="0"/>
        <v/>
      </c>
      <c r="R32" s="52"/>
      <c r="S32" s="52"/>
      <c r="T32" s="52"/>
      <c r="U32" s="61"/>
      <c r="V32" s="62"/>
      <c r="W32" s="63"/>
      <c r="X32" s="64"/>
      <c r="Y32" s="51"/>
      <c r="Z32" s="51"/>
      <c r="AA32" s="51"/>
      <c r="AB32" s="51"/>
    </row>
    <row r="33" spans="1:28">
      <c r="A33" s="51">
        <v>32</v>
      </c>
      <c r="B33" s="69" t="s">
        <v>131</v>
      </c>
      <c r="C33" s="61"/>
      <c r="D33" s="51"/>
      <c r="E33" s="51" t="s">
        <v>340</v>
      </c>
      <c r="F33" s="55" t="s">
        <v>341</v>
      </c>
      <c r="G33" s="56"/>
      <c r="H33" s="57"/>
      <c r="I33" s="51"/>
      <c r="J33" s="51">
        <f>282</f>
        <v>282</v>
      </c>
      <c r="K33" s="58">
        <v>1.2037037037037038E-3</v>
      </c>
      <c r="L33" s="59" t="s">
        <v>251</v>
      </c>
      <c r="M33" s="77"/>
      <c r="N33" s="77"/>
      <c r="O33" s="51"/>
      <c r="P33" s="51"/>
      <c r="Q33" s="37" t="str">
        <f t="shared" ca="1" si="0"/>
        <v/>
      </c>
      <c r="R33" s="52"/>
      <c r="S33" s="52"/>
      <c r="T33" s="52"/>
      <c r="U33" s="61"/>
      <c r="V33" s="62"/>
      <c r="W33" s="63"/>
      <c r="X33" s="64"/>
      <c r="Y33" s="51"/>
      <c r="Z33" s="51"/>
      <c r="AA33" s="51"/>
      <c r="AB33" s="51"/>
    </row>
    <row r="34" spans="1:28">
      <c r="A34" s="51">
        <v>33</v>
      </c>
      <c r="B34" s="69" t="s">
        <v>118</v>
      </c>
      <c r="C34" s="53"/>
      <c r="D34" s="54" t="s">
        <v>120</v>
      </c>
      <c r="E34" s="51" t="s">
        <v>346</v>
      </c>
      <c r="F34" s="55" t="s">
        <v>347</v>
      </c>
      <c r="G34" s="56"/>
      <c r="H34" s="57"/>
      <c r="I34" s="51"/>
      <c r="J34" s="51">
        <f>732</f>
        <v>732</v>
      </c>
      <c r="K34" s="58">
        <v>7.3379629629629628E-3</v>
      </c>
      <c r="L34" s="59" t="s">
        <v>251</v>
      </c>
      <c r="M34" s="77"/>
      <c r="N34" s="77"/>
      <c r="O34" s="51"/>
      <c r="P34" s="72">
        <v>43012</v>
      </c>
      <c r="Q34" s="37" t="str">
        <f t="shared" ca="1" si="0"/>
        <v/>
      </c>
      <c r="R34" s="52"/>
      <c r="S34" s="52"/>
      <c r="T34" s="52"/>
      <c r="U34" s="61"/>
      <c r="V34" s="62"/>
      <c r="W34" s="63"/>
      <c r="X34" s="64"/>
      <c r="Y34" s="51"/>
      <c r="Z34" s="51"/>
      <c r="AA34" s="51"/>
      <c r="AB34" s="51"/>
    </row>
    <row r="35" spans="1:28">
      <c r="A35" s="51">
        <v>34</v>
      </c>
      <c r="B35" s="69" t="s">
        <v>118</v>
      </c>
      <c r="C35" s="61"/>
      <c r="D35" s="54" t="s">
        <v>120</v>
      </c>
      <c r="E35" s="51" t="s">
        <v>349</v>
      </c>
      <c r="F35" s="55" t="s">
        <v>350</v>
      </c>
      <c r="G35" s="56"/>
      <c r="H35" s="57"/>
      <c r="I35" s="51"/>
      <c r="J35" s="51">
        <f>459</f>
        <v>459</v>
      </c>
      <c r="K35" s="58">
        <v>7.6388888888888886E-3</v>
      </c>
      <c r="L35" s="59" t="s">
        <v>251</v>
      </c>
      <c r="M35" s="77"/>
      <c r="N35" s="77"/>
      <c r="O35" s="51"/>
      <c r="P35" s="72">
        <v>43012</v>
      </c>
      <c r="Q35" s="37" t="str">
        <f t="shared" ca="1" si="0"/>
        <v/>
      </c>
      <c r="R35" s="52"/>
      <c r="S35" s="52"/>
      <c r="T35" s="52"/>
      <c r="U35" s="61"/>
      <c r="V35" s="62"/>
      <c r="W35" s="63"/>
      <c r="X35" s="64"/>
      <c r="Y35" s="51"/>
      <c r="Z35" s="51"/>
      <c r="AA35" s="51"/>
      <c r="AB35" s="51"/>
    </row>
    <row r="36" spans="1:28">
      <c r="A36" s="51">
        <v>35</v>
      </c>
      <c r="B36" s="69" t="s">
        <v>118</v>
      </c>
      <c r="C36" s="61"/>
      <c r="D36" s="54" t="s">
        <v>120</v>
      </c>
      <c r="E36" s="51" t="s">
        <v>355</v>
      </c>
      <c r="F36" s="55" t="s">
        <v>356</v>
      </c>
      <c r="G36" s="56"/>
      <c r="H36" s="57"/>
      <c r="I36" s="51"/>
      <c r="J36" s="51">
        <f>419</f>
        <v>419</v>
      </c>
      <c r="K36" s="58">
        <v>5.9490740740740745E-3</v>
      </c>
      <c r="L36" s="59" t="s">
        <v>251</v>
      </c>
      <c r="M36" s="77"/>
      <c r="N36" s="77"/>
      <c r="O36" s="51"/>
      <c r="P36" s="72">
        <v>43012</v>
      </c>
      <c r="Q36" s="37" t="str">
        <f t="shared" ca="1" si="0"/>
        <v/>
      </c>
      <c r="R36" s="52"/>
      <c r="S36" s="52"/>
      <c r="T36" s="52"/>
      <c r="U36" s="61"/>
      <c r="V36" s="62"/>
      <c r="W36" s="63"/>
      <c r="X36" s="64"/>
      <c r="Y36" s="51"/>
      <c r="Z36" s="51"/>
      <c r="AA36" s="51"/>
      <c r="AB36" s="51"/>
    </row>
    <row r="37" spans="1:28">
      <c r="A37" s="51">
        <v>36</v>
      </c>
      <c r="B37" s="69" t="s">
        <v>118</v>
      </c>
      <c r="C37" s="61"/>
      <c r="D37" s="54" t="s">
        <v>120</v>
      </c>
      <c r="E37" s="51" t="s">
        <v>358</v>
      </c>
      <c r="F37" s="55" t="s">
        <v>359</v>
      </c>
      <c r="G37" s="56"/>
      <c r="H37" s="57"/>
      <c r="I37" s="51"/>
      <c r="J37" s="51">
        <f>755</f>
        <v>755</v>
      </c>
      <c r="K37" s="58">
        <v>8.3449074074074085E-3</v>
      </c>
      <c r="L37" s="59" t="s">
        <v>251</v>
      </c>
      <c r="M37" s="77"/>
      <c r="N37" s="77"/>
      <c r="O37" s="51"/>
      <c r="P37" s="72">
        <v>43013</v>
      </c>
      <c r="Q37" s="37" t="str">
        <f t="shared" ca="1" si="0"/>
        <v/>
      </c>
      <c r="R37" s="52"/>
      <c r="S37" s="52"/>
      <c r="T37" s="52"/>
      <c r="U37" s="61"/>
      <c r="V37" s="62"/>
      <c r="W37" s="63"/>
      <c r="X37" s="64"/>
      <c r="Y37" s="51"/>
      <c r="Z37" s="51"/>
      <c r="AA37" s="51"/>
      <c r="AB37" s="51"/>
    </row>
    <row r="38" spans="1:28">
      <c r="A38" s="51">
        <v>37</v>
      </c>
      <c r="B38" s="69" t="s">
        <v>118</v>
      </c>
      <c r="C38" s="61"/>
      <c r="D38" s="54" t="s">
        <v>120</v>
      </c>
      <c r="E38" s="51" t="s">
        <v>360</v>
      </c>
      <c r="F38" s="55" t="s">
        <v>361</v>
      </c>
      <c r="G38" s="56"/>
      <c r="H38" s="57"/>
      <c r="I38" s="51"/>
      <c r="J38" s="51">
        <f>773</f>
        <v>773</v>
      </c>
      <c r="K38" s="58">
        <v>9.5486111111111101E-3</v>
      </c>
      <c r="L38" s="59" t="s">
        <v>251</v>
      </c>
      <c r="M38" s="77"/>
      <c r="N38" s="77"/>
      <c r="O38" s="51"/>
      <c r="P38" s="72">
        <v>43013</v>
      </c>
      <c r="Q38" s="37" t="str">
        <f t="shared" ca="1" si="0"/>
        <v/>
      </c>
      <c r="R38" s="52"/>
      <c r="S38" s="52"/>
      <c r="T38" s="52"/>
      <c r="U38" s="61"/>
      <c r="V38" s="62"/>
      <c r="W38" s="63"/>
      <c r="X38" s="64"/>
      <c r="Y38" s="51"/>
      <c r="Z38" s="51"/>
      <c r="AA38" s="51"/>
      <c r="AB38" s="51"/>
    </row>
    <row r="39" spans="1:28">
      <c r="A39" s="51">
        <v>38</v>
      </c>
      <c r="B39" s="69" t="s">
        <v>118</v>
      </c>
      <c r="C39" s="61"/>
      <c r="D39" s="54" t="s">
        <v>128</v>
      </c>
      <c r="E39" s="51" t="s">
        <v>364</v>
      </c>
      <c r="F39" s="55" t="s">
        <v>365</v>
      </c>
      <c r="G39" s="56"/>
      <c r="H39" s="57"/>
      <c r="I39" s="51"/>
      <c r="J39" s="51">
        <f>427</f>
        <v>427</v>
      </c>
      <c r="K39" s="58">
        <v>3.3564814814814811E-3</v>
      </c>
      <c r="L39" s="59" t="s">
        <v>251</v>
      </c>
      <c r="M39" s="77"/>
      <c r="N39" s="77"/>
      <c r="O39" s="51"/>
      <c r="P39" s="72">
        <v>43013</v>
      </c>
      <c r="Q39" s="37" t="str">
        <f t="shared" ca="1" si="0"/>
        <v/>
      </c>
      <c r="R39" s="52"/>
      <c r="S39" s="52"/>
      <c r="T39" s="52"/>
      <c r="U39" s="61"/>
      <c r="V39" s="62"/>
      <c r="W39" s="63"/>
      <c r="X39" s="64"/>
      <c r="Y39" s="51"/>
      <c r="Z39" s="51"/>
      <c r="AA39" s="51"/>
      <c r="AB39" s="51"/>
    </row>
    <row r="40" spans="1:28">
      <c r="A40" s="51">
        <v>39</v>
      </c>
      <c r="B40" s="69" t="s">
        <v>122</v>
      </c>
      <c r="C40" s="53"/>
      <c r="D40" s="54" t="s">
        <v>120</v>
      </c>
      <c r="E40" s="51" t="s">
        <v>366</v>
      </c>
      <c r="F40" s="55" t="s">
        <v>367</v>
      </c>
      <c r="G40" s="56"/>
      <c r="H40" s="57"/>
      <c r="I40" s="51"/>
      <c r="J40" s="51">
        <f>5.9*1000</f>
        <v>5900</v>
      </c>
      <c r="K40" s="58">
        <v>6.5740740740740733E-3</v>
      </c>
      <c r="L40" s="59" t="s">
        <v>251</v>
      </c>
      <c r="M40" s="77"/>
      <c r="N40" s="77"/>
      <c r="O40" s="51"/>
      <c r="P40" s="72">
        <v>43015</v>
      </c>
      <c r="Q40" s="37" t="str">
        <f t="shared" ca="1" si="0"/>
        <v/>
      </c>
      <c r="R40" s="52"/>
      <c r="S40" s="52"/>
      <c r="T40" s="52"/>
      <c r="U40" s="61"/>
      <c r="V40" s="62"/>
      <c r="W40" s="83"/>
      <c r="X40" s="64"/>
      <c r="Y40" s="51"/>
      <c r="Z40" s="51"/>
      <c r="AA40" s="51"/>
      <c r="AB40" s="51"/>
    </row>
    <row r="41" spans="1:28">
      <c r="A41" s="51">
        <v>40</v>
      </c>
      <c r="B41" s="69" t="s">
        <v>122</v>
      </c>
      <c r="C41" s="61"/>
      <c r="D41" s="54" t="s">
        <v>120</v>
      </c>
      <c r="E41" s="51" t="s">
        <v>371</v>
      </c>
      <c r="F41" s="55" t="s">
        <v>373</v>
      </c>
      <c r="G41" s="56"/>
      <c r="H41" s="57"/>
      <c r="I41" s="51"/>
      <c r="J41" s="51">
        <f>3*1000</f>
        <v>3000</v>
      </c>
      <c r="K41" s="58">
        <v>3.1944444444444442E-3</v>
      </c>
      <c r="L41" s="59" t="s">
        <v>251</v>
      </c>
      <c r="M41" s="77"/>
      <c r="N41" s="77"/>
      <c r="O41" s="51"/>
      <c r="P41" s="72">
        <v>43015</v>
      </c>
      <c r="Q41" s="37" t="str">
        <f t="shared" ca="1" si="0"/>
        <v/>
      </c>
      <c r="R41" s="52"/>
      <c r="S41" s="52"/>
      <c r="T41" s="52"/>
      <c r="U41" s="61"/>
      <c r="V41" s="62"/>
      <c r="W41" s="63"/>
      <c r="X41" s="64"/>
      <c r="Y41" s="51"/>
      <c r="Z41" s="51"/>
      <c r="AA41" s="51"/>
      <c r="AB41" s="51"/>
    </row>
    <row r="42" spans="1:28">
      <c r="A42" s="51">
        <v>41</v>
      </c>
      <c r="B42" s="69" t="s">
        <v>122</v>
      </c>
      <c r="C42" s="61"/>
      <c r="D42" s="54" t="s">
        <v>120</v>
      </c>
      <c r="E42" s="51" t="s">
        <v>375</v>
      </c>
      <c r="F42" s="55" t="s">
        <v>377</v>
      </c>
      <c r="G42" s="56"/>
      <c r="H42" s="57"/>
      <c r="I42" s="51"/>
      <c r="J42" s="51">
        <f>3.3*1000</f>
        <v>3300</v>
      </c>
      <c r="K42" s="58">
        <v>8.8657407407407417E-3</v>
      </c>
      <c r="L42" s="59" t="s">
        <v>251</v>
      </c>
      <c r="M42" s="77"/>
      <c r="N42" s="77"/>
      <c r="O42" s="51"/>
      <c r="P42" s="72">
        <v>43015</v>
      </c>
      <c r="Q42" s="37" t="str">
        <f t="shared" ca="1" si="0"/>
        <v/>
      </c>
      <c r="R42" s="52"/>
      <c r="S42" s="52"/>
      <c r="T42" s="52"/>
      <c r="U42" s="61"/>
      <c r="V42" s="62"/>
      <c r="W42" s="63"/>
      <c r="X42" s="64"/>
      <c r="Y42" s="51"/>
      <c r="Z42" s="51"/>
      <c r="AA42" s="51"/>
      <c r="AB42" s="51"/>
    </row>
    <row r="43" spans="1:28">
      <c r="A43" s="51">
        <v>42</v>
      </c>
      <c r="B43" s="69" t="s">
        <v>122</v>
      </c>
      <c r="C43" s="61"/>
      <c r="D43" s="54" t="s">
        <v>120</v>
      </c>
      <c r="E43" s="51" t="s">
        <v>378</v>
      </c>
      <c r="F43" s="55" t="s">
        <v>379</v>
      </c>
      <c r="G43" s="56"/>
      <c r="H43" s="57"/>
      <c r="I43" s="51"/>
      <c r="J43" s="51">
        <f>1.7*1000</f>
        <v>1700</v>
      </c>
      <c r="K43" s="58">
        <v>5.1967592592592595E-3</v>
      </c>
      <c r="L43" s="59" t="s">
        <v>251</v>
      </c>
      <c r="M43" s="77"/>
      <c r="N43" s="77"/>
      <c r="O43" s="51"/>
      <c r="P43" s="72">
        <v>43015</v>
      </c>
      <c r="Q43" s="37" t="str">
        <f t="shared" ca="1" si="0"/>
        <v/>
      </c>
      <c r="R43" s="52"/>
      <c r="S43" s="52"/>
      <c r="T43" s="52"/>
      <c r="U43" s="61"/>
      <c r="V43" s="62"/>
      <c r="W43" s="63"/>
      <c r="X43" s="64"/>
      <c r="Y43" s="51"/>
      <c r="Z43" s="51"/>
      <c r="AA43" s="51"/>
      <c r="AB43" s="51"/>
    </row>
    <row r="44" spans="1:28">
      <c r="A44" s="51">
        <v>43</v>
      </c>
      <c r="B44" s="69" t="s">
        <v>122</v>
      </c>
      <c r="C44" s="61"/>
      <c r="D44" s="54" t="s">
        <v>120</v>
      </c>
      <c r="E44" s="51" t="s">
        <v>380</v>
      </c>
      <c r="F44" s="55" t="s">
        <v>381</v>
      </c>
      <c r="G44" s="56"/>
      <c r="H44" s="57"/>
      <c r="I44" s="51"/>
      <c r="J44" s="51">
        <f>1*1000</f>
        <v>1000</v>
      </c>
      <c r="K44" s="58">
        <v>3.4490740740740745E-3</v>
      </c>
      <c r="L44" s="59" t="s">
        <v>251</v>
      </c>
      <c r="M44" s="77"/>
      <c r="N44" s="77"/>
      <c r="O44" s="51"/>
      <c r="P44" s="72">
        <v>43015</v>
      </c>
      <c r="Q44" s="37" t="str">
        <f t="shared" ca="1" si="0"/>
        <v/>
      </c>
      <c r="R44" s="52"/>
      <c r="S44" s="52"/>
      <c r="T44" s="52"/>
      <c r="U44" s="61"/>
      <c r="V44" s="62"/>
      <c r="W44" s="63"/>
      <c r="X44" s="64"/>
      <c r="Y44" s="51"/>
      <c r="Z44" s="51"/>
      <c r="AA44" s="51"/>
      <c r="AB44" s="51"/>
    </row>
    <row r="45" spans="1:28">
      <c r="A45" s="51">
        <v>44</v>
      </c>
      <c r="B45" s="69" t="s">
        <v>122</v>
      </c>
      <c r="C45" s="61"/>
      <c r="D45" s="54" t="s">
        <v>120</v>
      </c>
      <c r="E45" s="51" t="s">
        <v>384</v>
      </c>
      <c r="F45" s="55" t="s">
        <v>385</v>
      </c>
      <c r="G45" s="56"/>
      <c r="H45" s="57"/>
      <c r="I45" s="51"/>
      <c r="J45" s="51">
        <f t="shared" ref="J45:J46" si="1">1.3*1000</f>
        <v>1300</v>
      </c>
      <c r="K45" s="58">
        <v>5.3240740740740748E-3</v>
      </c>
      <c r="L45" s="59" t="s">
        <v>251</v>
      </c>
      <c r="M45" s="77"/>
      <c r="N45" s="77"/>
      <c r="O45" s="51"/>
      <c r="P45" s="72">
        <v>43015</v>
      </c>
      <c r="Q45" s="37" t="str">
        <f t="shared" ca="1" si="0"/>
        <v/>
      </c>
      <c r="R45" s="52"/>
      <c r="S45" s="52"/>
      <c r="T45" s="52"/>
      <c r="U45" s="61"/>
      <c r="V45" s="62"/>
      <c r="W45" s="63"/>
      <c r="X45" s="64"/>
      <c r="Y45" s="51"/>
      <c r="Z45" s="51"/>
      <c r="AA45" s="51"/>
      <c r="AB45" s="51"/>
    </row>
    <row r="46" spans="1:28">
      <c r="A46" s="51">
        <v>45</v>
      </c>
      <c r="B46" s="69" t="s">
        <v>122</v>
      </c>
      <c r="C46" s="61"/>
      <c r="D46" s="54" t="s">
        <v>120</v>
      </c>
      <c r="E46" s="51" t="s">
        <v>388</v>
      </c>
      <c r="F46" s="55" t="s">
        <v>389</v>
      </c>
      <c r="G46" s="56"/>
      <c r="H46" s="57"/>
      <c r="I46" s="51"/>
      <c r="J46" s="51">
        <f t="shared" si="1"/>
        <v>1300</v>
      </c>
      <c r="K46" s="58">
        <v>8.2407407407407412E-3</v>
      </c>
      <c r="L46" s="59" t="s">
        <v>251</v>
      </c>
      <c r="M46" s="77"/>
      <c r="N46" s="77"/>
      <c r="O46" s="51"/>
      <c r="P46" s="72">
        <v>43015</v>
      </c>
      <c r="Q46" s="37" t="str">
        <f t="shared" ca="1" si="0"/>
        <v/>
      </c>
      <c r="R46" s="52"/>
      <c r="S46" s="52"/>
      <c r="T46" s="52"/>
      <c r="U46" s="61"/>
      <c r="V46" s="62"/>
      <c r="W46" s="63"/>
      <c r="X46" s="64"/>
      <c r="Y46" s="51"/>
      <c r="Z46" s="51"/>
      <c r="AA46" s="51"/>
      <c r="AB46" s="51"/>
    </row>
    <row r="47" spans="1:28">
      <c r="A47" s="51">
        <v>46</v>
      </c>
      <c r="B47" s="69" t="s">
        <v>122</v>
      </c>
      <c r="C47" s="61"/>
      <c r="D47" s="54" t="s">
        <v>120</v>
      </c>
      <c r="E47" s="51" t="s">
        <v>392</v>
      </c>
      <c r="F47" s="55" t="s">
        <v>393</v>
      </c>
      <c r="G47" s="56"/>
      <c r="H47" s="57"/>
      <c r="I47" s="51"/>
      <c r="J47" s="51">
        <f>940</f>
        <v>940</v>
      </c>
      <c r="K47" s="58">
        <v>2.5925925925925925E-3</v>
      </c>
      <c r="L47" s="59" t="s">
        <v>251</v>
      </c>
      <c r="M47" s="77"/>
      <c r="N47" s="77"/>
      <c r="O47" s="51"/>
      <c r="P47" s="72">
        <v>43015</v>
      </c>
      <c r="Q47" s="37" t="str">
        <f t="shared" ca="1" si="0"/>
        <v/>
      </c>
      <c r="R47" s="52"/>
      <c r="S47" s="52"/>
      <c r="T47" s="52"/>
      <c r="U47" s="61"/>
      <c r="V47" s="62"/>
      <c r="W47" s="63"/>
      <c r="X47" s="64"/>
      <c r="Y47" s="51"/>
      <c r="Z47" s="51"/>
      <c r="AA47" s="51"/>
      <c r="AB47" s="51"/>
    </row>
    <row r="48" spans="1:28">
      <c r="A48" s="51">
        <v>47</v>
      </c>
      <c r="B48" s="69" t="s">
        <v>122</v>
      </c>
      <c r="C48" s="61"/>
      <c r="D48" s="54" t="s">
        <v>128</v>
      </c>
      <c r="E48" s="51" t="s">
        <v>396</v>
      </c>
      <c r="F48" s="55" t="s">
        <v>397</v>
      </c>
      <c r="G48" s="56"/>
      <c r="H48" s="57"/>
      <c r="I48" s="51"/>
      <c r="J48" s="51">
        <f>864</f>
        <v>864</v>
      </c>
      <c r="K48" s="58">
        <v>4.1898148148148146E-3</v>
      </c>
      <c r="L48" s="59" t="s">
        <v>251</v>
      </c>
      <c r="M48" s="77"/>
      <c r="N48" s="77"/>
      <c r="O48" s="51"/>
      <c r="P48" s="72">
        <v>43015</v>
      </c>
      <c r="Q48" s="37" t="str">
        <f t="shared" ca="1" si="0"/>
        <v/>
      </c>
      <c r="R48" s="52"/>
      <c r="S48" s="52"/>
      <c r="T48" s="52"/>
      <c r="U48" s="61"/>
      <c r="V48" s="62"/>
      <c r="W48" s="63"/>
      <c r="X48" s="64"/>
      <c r="Y48" s="51"/>
      <c r="Z48" s="51"/>
      <c r="AA48" s="51"/>
      <c r="AB48" s="51"/>
    </row>
    <row r="49" spans="1:28">
      <c r="A49" s="51">
        <v>48</v>
      </c>
      <c r="B49" s="69" t="s">
        <v>122</v>
      </c>
      <c r="C49" s="61"/>
      <c r="D49" s="54" t="s">
        <v>120</v>
      </c>
      <c r="E49" s="51" t="s">
        <v>402</v>
      </c>
      <c r="F49" s="55" t="s">
        <v>404</v>
      </c>
      <c r="G49" s="56"/>
      <c r="H49" s="57"/>
      <c r="I49" s="51"/>
      <c r="J49" s="51">
        <f>1.1*1000</f>
        <v>1100</v>
      </c>
      <c r="K49" s="58">
        <v>3.2986111111111111E-3</v>
      </c>
      <c r="L49" s="59" t="s">
        <v>251</v>
      </c>
      <c r="M49" s="77"/>
      <c r="N49" s="77"/>
      <c r="O49" s="51"/>
      <c r="P49" s="72">
        <v>43015</v>
      </c>
      <c r="Q49" s="37" t="str">
        <f t="shared" ca="1" si="0"/>
        <v/>
      </c>
      <c r="R49" s="52"/>
      <c r="S49" s="52"/>
      <c r="T49" s="52"/>
      <c r="U49" s="61"/>
      <c r="V49" s="62"/>
      <c r="W49" s="63"/>
      <c r="X49" s="64"/>
      <c r="Y49" s="51"/>
      <c r="Z49" s="51"/>
      <c r="AA49" s="51"/>
      <c r="AB49" s="51"/>
    </row>
    <row r="50" spans="1:28">
      <c r="A50" s="51">
        <v>49</v>
      </c>
      <c r="B50" s="69" t="s">
        <v>122</v>
      </c>
      <c r="C50" s="61"/>
      <c r="D50" s="54" t="s">
        <v>120</v>
      </c>
      <c r="E50" s="51" t="s">
        <v>408</v>
      </c>
      <c r="F50" s="55" t="s">
        <v>409</v>
      </c>
      <c r="G50" s="56"/>
      <c r="H50" s="57"/>
      <c r="I50" s="51"/>
      <c r="J50" s="51">
        <f>1.5*1000</f>
        <v>1500</v>
      </c>
      <c r="K50" s="58">
        <v>8.9467592592592585E-3</v>
      </c>
      <c r="L50" s="59" t="s">
        <v>251</v>
      </c>
      <c r="M50" s="77"/>
      <c r="N50" s="77"/>
      <c r="O50" s="51"/>
      <c r="P50" s="72">
        <v>43015</v>
      </c>
      <c r="Q50" s="37" t="str">
        <f t="shared" ca="1" si="0"/>
        <v/>
      </c>
      <c r="R50" s="52"/>
      <c r="S50" s="52"/>
      <c r="T50" s="52"/>
      <c r="U50" s="61"/>
      <c r="V50" s="62"/>
      <c r="W50" s="63"/>
      <c r="X50" s="64"/>
      <c r="Y50" s="51"/>
      <c r="Z50" s="51"/>
      <c r="AA50" s="51"/>
      <c r="AB50" s="51"/>
    </row>
    <row r="51" spans="1:28">
      <c r="A51" s="51">
        <v>50</v>
      </c>
      <c r="B51" s="69" t="s">
        <v>118</v>
      </c>
      <c r="C51" s="61"/>
      <c r="D51" s="54" t="s">
        <v>120</v>
      </c>
      <c r="E51" s="51" t="s">
        <v>412</v>
      </c>
      <c r="F51" s="55" t="s">
        <v>413</v>
      </c>
      <c r="G51" s="56"/>
      <c r="H51" s="57"/>
      <c r="I51" s="51"/>
      <c r="J51" s="51">
        <f>1.7*1000</f>
        <v>1700</v>
      </c>
      <c r="K51" s="58">
        <v>1.0266203703703703E-2</v>
      </c>
      <c r="L51" s="59" t="s">
        <v>251</v>
      </c>
      <c r="M51" s="77"/>
      <c r="N51" s="77"/>
      <c r="O51" s="51"/>
      <c r="P51" s="72">
        <v>43015</v>
      </c>
      <c r="Q51" s="37" t="str">
        <f t="shared" ca="1" si="0"/>
        <v/>
      </c>
      <c r="R51" s="52"/>
      <c r="S51" s="52"/>
      <c r="T51" s="52"/>
      <c r="U51" s="61"/>
      <c r="V51" s="62"/>
      <c r="W51" s="63"/>
      <c r="X51" s="64"/>
      <c r="Y51" s="51"/>
      <c r="Z51" s="51"/>
      <c r="AA51" s="51"/>
      <c r="AB51" s="51"/>
    </row>
    <row r="52" spans="1:28">
      <c r="A52" s="51">
        <v>51</v>
      </c>
      <c r="B52" s="69" t="s">
        <v>118</v>
      </c>
      <c r="C52" s="61"/>
      <c r="D52" s="54" t="s">
        <v>120</v>
      </c>
      <c r="E52" s="51" t="s">
        <v>418</v>
      </c>
      <c r="F52" s="55" t="s">
        <v>419</v>
      </c>
      <c r="G52" s="56"/>
      <c r="H52" s="57"/>
      <c r="I52" s="51"/>
      <c r="J52" s="51">
        <f>679</f>
        <v>679</v>
      </c>
      <c r="K52" s="58">
        <v>6.0879629629629643E-3</v>
      </c>
      <c r="L52" s="59" t="s">
        <v>251</v>
      </c>
      <c r="M52" s="77"/>
      <c r="N52" s="77"/>
      <c r="O52" s="51"/>
      <c r="P52" s="72">
        <v>43016</v>
      </c>
      <c r="Q52" s="37" t="str">
        <f t="shared" ca="1" si="0"/>
        <v/>
      </c>
      <c r="R52" s="52"/>
      <c r="S52" s="52"/>
      <c r="T52" s="52"/>
      <c r="U52" s="61"/>
      <c r="V52" s="62"/>
      <c r="W52" s="63"/>
      <c r="X52" s="64"/>
      <c r="Y52" s="51"/>
      <c r="Z52" s="51"/>
      <c r="AA52" s="51"/>
      <c r="AB52" s="51"/>
    </row>
    <row r="53" spans="1:28">
      <c r="A53" s="51">
        <v>52</v>
      </c>
      <c r="B53" s="69" t="s">
        <v>118</v>
      </c>
      <c r="C53" s="61"/>
      <c r="D53" s="54" t="s">
        <v>120</v>
      </c>
      <c r="E53" s="51" t="s">
        <v>424</v>
      </c>
      <c r="F53" s="55" t="s">
        <v>425</v>
      </c>
      <c r="G53" s="56"/>
      <c r="H53" s="57"/>
      <c r="I53" s="51"/>
      <c r="J53" s="51">
        <f>928</f>
        <v>928</v>
      </c>
      <c r="K53" s="58">
        <v>0.01</v>
      </c>
      <c r="L53" s="59" t="s">
        <v>251</v>
      </c>
      <c r="M53" s="77"/>
      <c r="N53" s="77"/>
      <c r="O53" s="51"/>
      <c r="P53" s="72">
        <v>43016</v>
      </c>
      <c r="Q53" s="37" t="str">
        <f t="shared" ca="1" si="0"/>
        <v/>
      </c>
      <c r="R53" s="52"/>
      <c r="S53" s="52"/>
      <c r="T53" s="52"/>
      <c r="U53" s="61"/>
      <c r="V53" s="62"/>
      <c r="W53" s="63"/>
      <c r="X53" s="64"/>
      <c r="Y53" s="51"/>
      <c r="Z53" s="51"/>
      <c r="AA53" s="51"/>
      <c r="AB53" s="51"/>
    </row>
    <row r="54" spans="1:28">
      <c r="A54" s="51">
        <v>53</v>
      </c>
      <c r="B54" s="69" t="s">
        <v>118</v>
      </c>
      <c r="C54" s="61"/>
      <c r="D54" s="54" t="s">
        <v>120</v>
      </c>
      <c r="E54" s="51" t="s">
        <v>430</v>
      </c>
      <c r="F54" s="55" t="s">
        <v>431</v>
      </c>
      <c r="G54" s="56"/>
      <c r="H54" s="57"/>
      <c r="I54" s="51"/>
      <c r="J54" s="51">
        <f>961</f>
        <v>961</v>
      </c>
      <c r="K54" s="58">
        <v>8.9814814814814809E-3</v>
      </c>
      <c r="L54" s="59" t="s">
        <v>251</v>
      </c>
      <c r="M54" s="77"/>
      <c r="N54" s="77"/>
      <c r="O54" s="51"/>
      <c r="P54" s="72">
        <v>43017</v>
      </c>
      <c r="Q54" s="37" t="str">
        <f t="shared" ca="1" si="0"/>
        <v/>
      </c>
      <c r="R54" s="52"/>
      <c r="S54" s="52"/>
      <c r="T54" s="52"/>
      <c r="U54" s="61"/>
      <c r="V54" s="62"/>
      <c r="W54" s="63"/>
      <c r="X54" s="64"/>
      <c r="Y54" s="51"/>
      <c r="Z54" s="51"/>
      <c r="AA54" s="51"/>
      <c r="AB54" s="51"/>
    </row>
    <row r="55" spans="1:28">
      <c r="A55" s="51">
        <v>54</v>
      </c>
      <c r="B55" s="69" t="s">
        <v>131</v>
      </c>
      <c r="C55" s="61"/>
      <c r="D55" s="51"/>
      <c r="E55" s="51" t="s">
        <v>434</v>
      </c>
      <c r="F55" s="55" t="s">
        <v>435</v>
      </c>
      <c r="G55" s="56"/>
      <c r="H55" s="57"/>
      <c r="I55" s="51"/>
      <c r="J55" s="51">
        <f>1.3*1000</f>
        <v>1300</v>
      </c>
      <c r="K55" s="58">
        <v>9.3171296296296283E-3</v>
      </c>
      <c r="L55" s="59" t="s">
        <v>251</v>
      </c>
      <c r="M55" s="77"/>
      <c r="N55" s="77"/>
      <c r="O55" s="51"/>
      <c r="P55" s="51"/>
      <c r="Q55" s="37" t="str">
        <f t="shared" ca="1" si="0"/>
        <v/>
      </c>
      <c r="R55" s="52"/>
      <c r="S55" s="52"/>
      <c r="T55" s="52"/>
      <c r="U55" s="61"/>
      <c r="V55" s="62"/>
      <c r="W55" s="63"/>
      <c r="X55" s="64"/>
      <c r="Y55" s="51"/>
      <c r="Z55" s="51"/>
      <c r="AA55" s="51"/>
      <c r="AB55" s="51"/>
    </row>
    <row r="56" spans="1:28">
      <c r="A56" s="51">
        <v>55</v>
      </c>
      <c r="B56" s="69" t="s">
        <v>131</v>
      </c>
      <c r="C56" s="61"/>
      <c r="D56" s="51"/>
      <c r="E56" s="51" t="s">
        <v>439</v>
      </c>
      <c r="F56" s="55" t="s">
        <v>441</v>
      </c>
      <c r="G56" s="56"/>
      <c r="H56" s="57"/>
      <c r="I56" s="51"/>
      <c r="J56" s="51">
        <f>959</f>
        <v>959</v>
      </c>
      <c r="K56" s="58">
        <v>9.0740740740740729E-3</v>
      </c>
      <c r="L56" s="59" t="s">
        <v>251</v>
      </c>
      <c r="M56" s="77"/>
      <c r="N56" s="77"/>
      <c r="O56" s="51"/>
      <c r="P56" s="51"/>
      <c r="Q56" s="37" t="str">
        <f t="shared" ca="1" si="0"/>
        <v/>
      </c>
      <c r="R56" s="52"/>
      <c r="S56" s="52"/>
      <c r="T56" s="52"/>
      <c r="U56" s="61"/>
      <c r="V56" s="62"/>
      <c r="W56" s="63"/>
      <c r="X56" s="64"/>
      <c r="Y56" s="51"/>
      <c r="Z56" s="51"/>
      <c r="AA56" s="51"/>
      <c r="AB56" s="51"/>
    </row>
    <row r="57" spans="1:28">
      <c r="A57" s="51">
        <v>56</v>
      </c>
      <c r="B57" s="69" t="s">
        <v>131</v>
      </c>
      <c r="C57" s="61"/>
      <c r="D57" s="51"/>
      <c r="E57" s="51" t="s">
        <v>443</v>
      </c>
      <c r="F57" s="55" t="s">
        <v>444</v>
      </c>
      <c r="G57" s="56"/>
      <c r="H57" s="57"/>
      <c r="I57" s="51"/>
      <c r="J57" s="51">
        <f>1.1*1000</f>
        <v>1100</v>
      </c>
      <c r="K57" s="58">
        <v>5.185185185185185E-3</v>
      </c>
      <c r="L57" s="59" t="s">
        <v>251</v>
      </c>
      <c r="M57" s="77"/>
      <c r="N57" s="77"/>
      <c r="O57" s="51"/>
      <c r="P57" s="51"/>
      <c r="Q57" s="37" t="str">
        <f t="shared" ca="1" si="0"/>
        <v/>
      </c>
      <c r="R57" s="52"/>
      <c r="S57" s="52"/>
      <c r="T57" s="52"/>
      <c r="U57" s="61"/>
      <c r="V57" s="62"/>
      <c r="W57" s="63"/>
      <c r="X57" s="64"/>
      <c r="Y57" s="51"/>
      <c r="Z57" s="51"/>
      <c r="AA57" s="51"/>
      <c r="AB57" s="51"/>
    </row>
    <row r="58" spans="1:28">
      <c r="A58" s="51">
        <v>57</v>
      </c>
      <c r="B58" s="69" t="s">
        <v>131</v>
      </c>
      <c r="C58" s="61"/>
      <c r="D58" s="51"/>
      <c r="E58" s="51" t="s">
        <v>447</v>
      </c>
      <c r="F58" s="55" t="s">
        <v>449</v>
      </c>
      <c r="G58" s="56"/>
      <c r="H58" s="57"/>
      <c r="I58" s="51"/>
      <c r="J58" s="51">
        <f>1*1000</f>
        <v>1000</v>
      </c>
      <c r="K58" s="58">
        <v>8.5995370370370357E-3</v>
      </c>
      <c r="L58" s="59" t="s">
        <v>251</v>
      </c>
      <c r="M58" s="77"/>
      <c r="N58" s="77"/>
      <c r="O58" s="51"/>
      <c r="P58" s="51"/>
      <c r="Q58" s="37" t="str">
        <f t="shared" ca="1" si="0"/>
        <v/>
      </c>
      <c r="R58" s="52"/>
      <c r="S58" s="52"/>
      <c r="T58" s="52"/>
      <c r="U58" s="61"/>
      <c r="V58" s="62"/>
      <c r="W58" s="63"/>
      <c r="X58" s="64"/>
      <c r="Y58" s="51"/>
      <c r="Z58" s="51"/>
      <c r="AA58" s="51"/>
      <c r="AB58" s="51"/>
    </row>
    <row r="59" spans="1:28">
      <c r="A59" s="51">
        <v>58</v>
      </c>
      <c r="B59" s="69" t="s">
        <v>131</v>
      </c>
      <c r="C59" s="61"/>
      <c r="D59" s="51"/>
      <c r="E59" s="51" t="s">
        <v>453</v>
      </c>
      <c r="F59" s="55" t="s">
        <v>454</v>
      </c>
      <c r="G59" s="56"/>
      <c r="H59" s="57"/>
      <c r="I59" s="51"/>
      <c r="J59" s="51">
        <f>1.5*1000</f>
        <v>1500</v>
      </c>
      <c r="K59" s="58">
        <v>0.01</v>
      </c>
      <c r="L59" s="59" t="s">
        <v>251</v>
      </c>
      <c r="M59" s="77"/>
      <c r="N59" s="77"/>
      <c r="O59" s="51"/>
      <c r="P59" s="51"/>
      <c r="Q59" s="37" t="str">
        <f t="shared" ca="1" si="0"/>
        <v/>
      </c>
      <c r="R59" s="52"/>
      <c r="S59" s="52"/>
      <c r="T59" s="52"/>
      <c r="U59" s="61"/>
      <c r="V59" s="62"/>
      <c r="W59" s="63"/>
      <c r="X59" s="64"/>
      <c r="Y59" s="51"/>
      <c r="Z59" s="51"/>
      <c r="AA59" s="51"/>
      <c r="AB59" s="51"/>
    </row>
    <row r="60" spans="1:28">
      <c r="A60" s="51">
        <v>59</v>
      </c>
      <c r="B60" s="52" t="s">
        <v>97</v>
      </c>
      <c r="C60" s="53"/>
      <c r="D60" s="54" t="s">
        <v>120</v>
      </c>
      <c r="E60" s="51" t="s">
        <v>382</v>
      </c>
      <c r="F60" s="55" t="s">
        <v>383</v>
      </c>
      <c r="G60" s="56"/>
      <c r="H60" s="57"/>
      <c r="I60" s="51"/>
      <c r="J60" s="51">
        <f>3.6*1000</f>
        <v>3600</v>
      </c>
      <c r="K60" s="58">
        <v>3.6516203703703703E-2</v>
      </c>
      <c r="L60" s="59" t="s">
        <v>251</v>
      </c>
      <c r="M60" s="51"/>
      <c r="N60" s="51"/>
      <c r="O60" s="51"/>
      <c r="P60" s="60">
        <v>42989</v>
      </c>
      <c r="Q60" s="37" t="str">
        <f t="shared" ca="1" si="0"/>
        <v/>
      </c>
      <c r="R60" s="89"/>
      <c r="S60" s="52"/>
      <c r="T60" s="52"/>
      <c r="U60" s="61"/>
      <c r="V60" s="62"/>
      <c r="W60" s="63"/>
      <c r="X60" s="64"/>
      <c r="Y60" s="51"/>
      <c r="Z60" s="51"/>
      <c r="AA60" s="51"/>
      <c r="AB60" s="51"/>
    </row>
    <row r="61" spans="1:28">
      <c r="A61" s="51">
        <v>60</v>
      </c>
      <c r="B61" s="69" t="s">
        <v>131</v>
      </c>
      <c r="C61" s="61"/>
      <c r="D61" s="51"/>
      <c r="E61" s="51" t="s">
        <v>462</v>
      </c>
      <c r="F61" s="55" t="s">
        <v>463</v>
      </c>
      <c r="G61" s="56"/>
      <c r="H61" s="57"/>
      <c r="I61" s="51"/>
      <c r="J61" s="51">
        <f>2.3*1000</f>
        <v>2300</v>
      </c>
      <c r="K61" s="58">
        <v>5.6018518518518518E-3</v>
      </c>
      <c r="L61" s="59" t="s">
        <v>459</v>
      </c>
      <c r="M61" s="51"/>
      <c r="N61" s="51"/>
      <c r="O61" s="51"/>
      <c r="P61" s="51"/>
      <c r="Q61" s="37" t="str">
        <f t="shared" ca="1" si="0"/>
        <v/>
      </c>
      <c r="R61" s="52"/>
      <c r="S61" s="52"/>
      <c r="T61" s="52"/>
      <c r="U61" s="61"/>
      <c r="V61" s="62"/>
      <c r="W61" s="63"/>
      <c r="X61" s="64"/>
      <c r="Y61" s="51"/>
      <c r="Z61" s="51"/>
      <c r="AA61" s="51"/>
      <c r="AB61" s="51"/>
    </row>
    <row r="62" spans="1:28">
      <c r="A62" s="51">
        <v>61</v>
      </c>
      <c r="B62" s="69" t="s">
        <v>131</v>
      </c>
      <c r="C62" s="61"/>
      <c r="D62" s="51"/>
      <c r="E62" s="51" t="s">
        <v>467</v>
      </c>
      <c r="F62" s="55" t="s">
        <v>468</v>
      </c>
      <c r="G62" s="56"/>
      <c r="H62" s="57"/>
      <c r="I62" s="51"/>
      <c r="J62" s="51">
        <f>709</f>
        <v>709</v>
      </c>
      <c r="K62" s="58">
        <v>2.0138888888888888E-3</v>
      </c>
      <c r="L62" s="59" t="s">
        <v>459</v>
      </c>
      <c r="M62" s="51"/>
      <c r="N62" s="51"/>
      <c r="O62" s="51"/>
      <c r="P62" s="51"/>
      <c r="Q62" s="37" t="str">
        <f t="shared" ca="1" si="0"/>
        <v/>
      </c>
      <c r="R62" s="52"/>
      <c r="S62" s="52"/>
      <c r="T62" s="52"/>
      <c r="U62" s="61"/>
      <c r="V62" s="62"/>
      <c r="W62" s="63"/>
      <c r="X62" s="64"/>
      <c r="Y62" s="51"/>
      <c r="Z62" s="51"/>
      <c r="AA62" s="51"/>
      <c r="AB62" s="51"/>
    </row>
    <row r="63" spans="1:28">
      <c r="A63" s="51">
        <v>62</v>
      </c>
      <c r="B63" s="52" t="s">
        <v>97</v>
      </c>
      <c r="C63" s="53"/>
      <c r="D63" s="54" t="s">
        <v>120</v>
      </c>
      <c r="E63" s="51" t="s">
        <v>457</v>
      </c>
      <c r="F63" s="55" t="s">
        <v>458</v>
      </c>
      <c r="G63" s="56"/>
      <c r="H63" s="57"/>
      <c r="I63" s="51"/>
      <c r="J63" s="51">
        <f>6.1*1000</f>
        <v>6100</v>
      </c>
      <c r="K63" s="58">
        <v>3.6041666666666666E-2</v>
      </c>
      <c r="L63" s="59" t="s">
        <v>459</v>
      </c>
      <c r="M63" s="51"/>
      <c r="N63" s="51"/>
      <c r="O63" s="51"/>
      <c r="P63" s="60">
        <v>42997</v>
      </c>
      <c r="Q63" s="37" t="str">
        <f t="shared" ca="1" si="0"/>
        <v/>
      </c>
      <c r="R63" s="52"/>
      <c r="S63" s="52"/>
      <c r="T63" s="52"/>
      <c r="U63" s="61"/>
      <c r="V63" s="62"/>
      <c r="W63" s="63"/>
      <c r="X63" s="64"/>
      <c r="Y63" s="51"/>
      <c r="Z63" s="51"/>
      <c r="AA63" s="51"/>
      <c r="AB63" s="51"/>
    </row>
    <row r="64" spans="1:28">
      <c r="A64" s="51">
        <v>63</v>
      </c>
      <c r="B64" s="69" t="s">
        <v>127</v>
      </c>
      <c r="C64" s="61"/>
      <c r="D64" s="51"/>
      <c r="E64" s="51" t="s">
        <v>474</v>
      </c>
      <c r="F64" s="55" t="s">
        <v>475</v>
      </c>
      <c r="G64" s="56"/>
      <c r="H64" s="57"/>
      <c r="I64" s="51"/>
      <c r="J64" s="51">
        <f>1.2*1000</f>
        <v>1200</v>
      </c>
      <c r="K64" s="58">
        <v>1.1446759259259261E-2</v>
      </c>
      <c r="L64" s="59" t="s">
        <v>459</v>
      </c>
      <c r="M64" s="51"/>
      <c r="N64" s="51"/>
      <c r="O64" s="51"/>
      <c r="P64" s="51"/>
      <c r="Q64" s="37" t="str">
        <f t="shared" ca="1" si="0"/>
        <v/>
      </c>
      <c r="R64" s="52"/>
      <c r="S64" s="52"/>
      <c r="T64" s="52"/>
      <c r="U64" s="61"/>
      <c r="V64" s="62"/>
      <c r="W64" s="63"/>
      <c r="X64" s="64"/>
      <c r="Y64" s="51"/>
      <c r="Z64" s="51"/>
      <c r="AA64" s="51"/>
      <c r="AB64" s="51"/>
    </row>
    <row r="65" spans="1:28">
      <c r="A65" s="51">
        <v>64</v>
      </c>
      <c r="B65" s="69" t="s">
        <v>127</v>
      </c>
      <c r="C65" s="61"/>
      <c r="D65" s="51"/>
      <c r="E65" s="51" t="s">
        <v>481</v>
      </c>
      <c r="F65" s="55" t="s">
        <v>483</v>
      </c>
      <c r="G65" s="56"/>
      <c r="H65" s="57"/>
      <c r="I65" s="51"/>
      <c r="J65" s="51">
        <f>694</f>
        <v>694</v>
      </c>
      <c r="K65" s="58">
        <v>9.1203703703703707E-3</v>
      </c>
      <c r="L65" s="59" t="s">
        <v>459</v>
      </c>
      <c r="M65" s="51"/>
      <c r="N65" s="51"/>
      <c r="O65" s="51"/>
      <c r="P65" s="51"/>
      <c r="Q65" s="37" t="str">
        <f t="shared" ca="1" si="0"/>
        <v/>
      </c>
      <c r="R65" s="52"/>
      <c r="S65" s="52"/>
      <c r="T65" s="52"/>
      <c r="U65" s="61"/>
      <c r="V65" s="62"/>
      <c r="W65" s="63"/>
      <c r="X65" s="64"/>
      <c r="Y65" s="51"/>
      <c r="Z65" s="51"/>
      <c r="AA65" s="51"/>
      <c r="AB65" s="51"/>
    </row>
    <row r="66" spans="1:28">
      <c r="A66" s="51">
        <v>65</v>
      </c>
      <c r="B66" s="69" t="s">
        <v>127</v>
      </c>
      <c r="C66" s="61"/>
      <c r="D66" s="51"/>
      <c r="E66" s="51" t="s">
        <v>487</v>
      </c>
      <c r="F66" s="55" t="s">
        <v>488</v>
      </c>
      <c r="G66" s="56"/>
      <c r="H66" s="57"/>
      <c r="I66" s="51"/>
      <c r="J66" s="51">
        <f>588</f>
        <v>588</v>
      </c>
      <c r="K66" s="58">
        <v>7.1990740740740739E-3</v>
      </c>
      <c r="L66" s="59" t="s">
        <v>459</v>
      </c>
      <c r="M66" s="51"/>
      <c r="N66" s="51"/>
      <c r="O66" s="51"/>
      <c r="P66" s="51"/>
      <c r="Q66" s="37" t="str">
        <f t="shared" ca="1" si="0"/>
        <v/>
      </c>
      <c r="R66" s="52"/>
      <c r="S66" s="52"/>
      <c r="T66" s="52"/>
      <c r="U66" s="61"/>
      <c r="V66" s="62"/>
      <c r="W66" s="63"/>
      <c r="X66" s="64"/>
      <c r="Y66" s="51"/>
      <c r="Z66" s="51"/>
      <c r="AA66" s="51"/>
      <c r="AB66" s="51"/>
    </row>
    <row r="67" spans="1:28">
      <c r="A67" s="51">
        <v>66</v>
      </c>
      <c r="B67" s="69" t="s">
        <v>131</v>
      </c>
      <c r="C67" s="61"/>
      <c r="D67" s="51"/>
      <c r="E67" s="51" t="s">
        <v>491</v>
      </c>
      <c r="F67" s="55" t="s">
        <v>492</v>
      </c>
      <c r="G67" s="56"/>
      <c r="H67" s="57"/>
      <c r="I67" s="51"/>
      <c r="J67" s="51">
        <f>2.9*1000</f>
        <v>2900</v>
      </c>
      <c r="K67" s="58">
        <v>2.7766203703703706E-2</v>
      </c>
      <c r="L67" s="59" t="s">
        <v>459</v>
      </c>
      <c r="M67" s="51"/>
      <c r="N67" s="51"/>
      <c r="O67" s="51"/>
      <c r="P67" s="51"/>
      <c r="Q67" s="37" t="str">
        <f t="shared" ca="1" si="0"/>
        <v/>
      </c>
      <c r="R67" s="52"/>
      <c r="S67" s="52"/>
      <c r="T67" s="52"/>
      <c r="U67" s="61"/>
      <c r="V67" s="62"/>
      <c r="W67" s="63"/>
      <c r="X67" s="64"/>
      <c r="Y67" s="51"/>
      <c r="Z67" s="51"/>
      <c r="AA67" s="51"/>
      <c r="AB67" s="51"/>
    </row>
    <row r="68" spans="1:28">
      <c r="A68" s="51">
        <v>67</v>
      </c>
      <c r="B68" s="69" t="s">
        <v>131</v>
      </c>
      <c r="C68" s="61"/>
      <c r="D68" s="51"/>
      <c r="E68" s="51" t="s">
        <v>495</v>
      </c>
      <c r="F68" s="55" t="s">
        <v>496</v>
      </c>
      <c r="G68" s="56"/>
      <c r="H68" s="57"/>
      <c r="I68" s="51"/>
      <c r="J68" s="51">
        <f>575</f>
        <v>575</v>
      </c>
      <c r="K68" s="58">
        <v>5.0347222222222225E-3</v>
      </c>
      <c r="L68" s="59" t="s">
        <v>459</v>
      </c>
      <c r="M68" s="51"/>
      <c r="N68" s="51"/>
      <c r="O68" s="51"/>
      <c r="P68" s="51"/>
      <c r="Q68" s="37" t="str">
        <f t="shared" ca="1" si="0"/>
        <v/>
      </c>
      <c r="R68" s="52"/>
      <c r="S68" s="52"/>
      <c r="T68" s="52"/>
      <c r="U68" s="61"/>
      <c r="V68" s="62"/>
      <c r="W68" s="63"/>
      <c r="X68" s="64"/>
      <c r="Y68" s="51"/>
      <c r="Z68" s="51"/>
      <c r="AA68" s="51"/>
      <c r="AB68" s="51"/>
    </row>
    <row r="69" spans="1:28">
      <c r="A69" s="51">
        <v>68</v>
      </c>
      <c r="B69" s="52"/>
      <c r="C69" s="61"/>
      <c r="D69" s="51"/>
      <c r="E69" s="51" t="s">
        <v>500</v>
      </c>
      <c r="F69" s="55" t="s">
        <v>501</v>
      </c>
      <c r="G69" s="56"/>
      <c r="H69" s="57"/>
      <c r="I69" s="51"/>
      <c r="J69" s="51">
        <f t="shared" ref="J69:J70" si="2">2.5*1000</f>
        <v>2500</v>
      </c>
      <c r="K69" s="58">
        <v>2.4166666666666666E-2</v>
      </c>
      <c r="L69" s="59" t="s">
        <v>459</v>
      </c>
      <c r="M69" s="51"/>
      <c r="N69" s="51"/>
      <c r="O69" s="51"/>
      <c r="P69" s="51"/>
      <c r="Q69" s="37" t="str">
        <f t="shared" ca="1" si="0"/>
        <v/>
      </c>
      <c r="R69" s="52"/>
      <c r="S69" s="52"/>
      <c r="T69" s="52"/>
      <c r="U69" s="61"/>
      <c r="V69" s="62"/>
      <c r="W69" s="63"/>
      <c r="X69" s="64"/>
      <c r="Y69" s="51"/>
      <c r="Z69" s="51"/>
      <c r="AA69" s="51"/>
      <c r="AB69" s="51"/>
    </row>
    <row r="70" spans="1:28">
      <c r="A70" s="51">
        <v>69</v>
      </c>
      <c r="B70" s="52"/>
      <c r="C70" s="61"/>
      <c r="D70" s="51"/>
      <c r="E70" s="51" t="s">
        <v>505</v>
      </c>
      <c r="F70" s="55" t="s">
        <v>506</v>
      </c>
      <c r="G70" s="56"/>
      <c r="H70" s="57"/>
      <c r="I70" s="51"/>
      <c r="J70" s="51">
        <f t="shared" si="2"/>
        <v>2500</v>
      </c>
      <c r="K70" s="58">
        <v>3.5428240740740739E-2</v>
      </c>
      <c r="L70" s="59" t="s">
        <v>459</v>
      </c>
      <c r="M70" s="51"/>
      <c r="N70" s="51"/>
      <c r="O70" s="51"/>
      <c r="P70" s="51"/>
      <c r="Q70" s="37" t="str">
        <f t="shared" ca="1" si="0"/>
        <v/>
      </c>
      <c r="R70" s="52"/>
      <c r="S70" s="52"/>
      <c r="T70" s="52"/>
      <c r="U70" s="61"/>
      <c r="V70" s="62"/>
      <c r="W70" s="63"/>
      <c r="X70" s="64"/>
      <c r="Y70" s="51"/>
      <c r="Z70" s="51"/>
      <c r="AA70" s="51"/>
      <c r="AB70" s="51"/>
    </row>
    <row r="71" spans="1:28">
      <c r="A71" s="51">
        <v>70</v>
      </c>
      <c r="B71" s="52"/>
      <c r="C71" s="61"/>
      <c r="D71" s="51"/>
      <c r="E71" s="51" t="s">
        <v>510</v>
      </c>
      <c r="F71" s="55" t="s">
        <v>512</v>
      </c>
      <c r="G71" s="56"/>
      <c r="H71" s="57"/>
      <c r="I71" s="51"/>
      <c r="J71" s="51">
        <f>568</f>
        <v>568</v>
      </c>
      <c r="K71" s="58">
        <v>3.5185185185185185E-3</v>
      </c>
      <c r="L71" s="59" t="s">
        <v>459</v>
      </c>
      <c r="M71" s="51"/>
      <c r="N71" s="51"/>
      <c r="O71" s="51"/>
      <c r="P71" s="51"/>
      <c r="Q71" s="37" t="str">
        <f t="shared" ca="1" si="0"/>
        <v/>
      </c>
      <c r="R71" s="52"/>
      <c r="S71" s="52"/>
      <c r="T71" s="52"/>
      <c r="U71" s="61"/>
      <c r="V71" s="62"/>
      <c r="W71" s="63"/>
      <c r="X71" s="64"/>
      <c r="Y71" s="51"/>
      <c r="Z71" s="51"/>
      <c r="AA71" s="51"/>
      <c r="AB71" s="51"/>
    </row>
    <row r="72" spans="1:28">
      <c r="A72" s="51">
        <v>71</v>
      </c>
      <c r="B72" s="52"/>
      <c r="C72" s="61"/>
      <c r="D72" s="51"/>
      <c r="E72" s="51" t="s">
        <v>514</v>
      </c>
      <c r="F72" s="55" t="s">
        <v>516</v>
      </c>
      <c r="G72" s="56"/>
      <c r="H72" s="57"/>
      <c r="I72" s="51"/>
      <c r="J72" s="51">
        <f>1.1*1000</f>
        <v>1100</v>
      </c>
      <c r="K72" s="58">
        <v>8.5532407407407415E-3</v>
      </c>
      <c r="L72" s="59" t="s">
        <v>459</v>
      </c>
      <c r="M72" s="51"/>
      <c r="N72" s="51"/>
      <c r="O72" s="51"/>
      <c r="P72" s="51"/>
      <c r="Q72" s="37" t="str">
        <f t="shared" ca="1" si="0"/>
        <v/>
      </c>
      <c r="R72" s="52"/>
      <c r="S72" s="52"/>
      <c r="T72" s="52"/>
      <c r="U72" s="61"/>
      <c r="V72" s="62"/>
      <c r="W72" s="63"/>
      <c r="X72" s="64"/>
      <c r="Y72" s="51"/>
      <c r="Z72" s="51"/>
      <c r="AA72" s="51"/>
      <c r="AB72" s="51"/>
    </row>
    <row r="73" spans="1:28">
      <c r="A73" s="51">
        <v>72</v>
      </c>
      <c r="B73" s="52"/>
      <c r="C73" s="61"/>
      <c r="D73" s="51"/>
      <c r="E73" s="51" t="s">
        <v>520</v>
      </c>
      <c r="F73" s="55" t="s">
        <v>521</v>
      </c>
      <c r="G73" s="56"/>
      <c r="H73" s="57"/>
      <c r="I73" s="51"/>
      <c r="J73" s="51">
        <f>868</f>
        <v>868</v>
      </c>
      <c r="K73" s="58">
        <v>1.091435185185185E-2</v>
      </c>
      <c r="L73" s="59" t="s">
        <v>459</v>
      </c>
      <c r="M73" s="51"/>
      <c r="N73" s="51"/>
      <c r="O73" s="51"/>
      <c r="P73" s="51"/>
      <c r="Q73" s="37" t="str">
        <f t="shared" ca="1" si="0"/>
        <v/>
      </c>
      <c r="R73" s="52"/>
      <c r="S73" s="52"/>
      <c r="T73" s="52"/>
      <c r="U73" s="61"/>
      <c r="V73" s="62"/>
      <c r="W73" s="63"/>
      <c r="X73" s="64"/>
      <c r="Y73" s="51"/>
      <c r="Z73" s="51"/>
      <c r="AA73" s="51"/>
      <c r="AB73" s="51"/>
    </row>
    <row r="74" spans="1:28">
      <c r="A74" s="51">
        <v>73</v>
      </c>
      <c r="B74" s="52"/>
      <c r="C74" s="61"/>
      <c r="D74" s="51"/>
      <c r="E74" s="51" t="s">
        <v>525</v>
      </c>
      <c r="F74" s="55" t="s">
        <v>526</v>
      </c>
      <c r="G74" s="56"/>
      <c r="H74" s="57"/>
      <c r="I74" s="51"/>
      <c r="J74" s="51">
        <f>28*1000</f>
        <v>28000</v>
      </c>
      <c r="K74" s="58">
        <v>6.7152777777777783E-2</v>
      </c>
      <c r="L74" s="59" t="s">
        <v>459</v>
      </c>
      <c r="M74" s="51"/>
      <c r="N74" s="51"/>
      <c r="O74" s="51"/>
      <c r="P74" s="51"/>
      <c r="Q74" s="37" t="str">
        <f t="shared" ca="1" si="0"/>
        <v/>
      </c>
      <c r="R74" s="52"/>
      <c r="S74" s="52"/>
      <c r="T74" s="52"/>
      <c r="U74" s="61"/>
      <c r="V74" s="62"/>
      <c r="W74" s="63"/>
      <c r="X74" s="64"/>
      <c r="Y74" s="51"/>
      <c r="Z74" s="51"/>
      <c r="AA74" s="51"/>
      <c r="AB74" s="51"/>
    </row>
    <row r="75" spans="1:28">
      <c r="A75" s="51">
        <v>74</v>
      </c>
      <c r="B75" s="52" t="s">
        <v>97</v>
      </c>
      <c r="C75" s="53"/>
      <c r="D75" s="54" t="s">
        <v>120</v>
      </c>
      <c r="E75" s="51" t="s">
        <v>489</v>
      </c>
      <c r="F75" s="55" t="s">
        <v>490</v>
      </c>
      <c r="G75" s="56"/>
      <c r="H75" s="57"/>
      <c r="I75" s="51"/>
      <c r="J75" s="51">
        <f>4.4*1000</f>
        <v>4400</v>
      </c>
      <c r="K75" s="58">
        <v>4.2280092592592598E-2</v>
      </c>
      <c r="L75" s="59" t="s">
        <v>459</v>
      </c>
      <c r="M75" s="51"/>
      <c r="N75" s="51"/>
      <c r="O75" s="51"/>
      <c r="P75" s="60">
        <v>43003</v>
      </c>
      <c r="Q75" s="37" t="str">
        <f t="shared" ca="1" si="0"/>
        <v/>
      </c>
      <c r="R75" s="52"/>
      <c r="S75" s="52"/>
      <c r="T75" s="52"/>
      <c r="U75" s="61"/>
      <c r="V75" s="62"/>
      <c r="W75" s="63"/>
      <c r="X75" s="64"/>
      <c r="Y75" s="51"/>
      <c r="Z75" s="51"/>
      <c r="AA75" s="51"/>
      <c r="AB75" s="51"/>
    </row>
    <row r="76" spans="1:28">
      <c r="A76" s="51">
        <v>75</v>
      </c>
      <c r="B76" s="52"/>
      <c r="C76" s="61"/>
      <c r="D76" s="51"/>
      <c r="E76" s="51" t="s">
        <v>536</v>
      </c>
      <c r="F76" s="55" t="s">
        <v>537</v>
      </c>
      <c r="G76" s="56"/>
      <c r="H76" s="57"/>
      <c r="I76" s="51"/>
      <c r="J76" s="51">
        <f>7.3*1000</f>
        <v>7300</v>
      </c>
      <c r="K76" s="58">
        <v>4.8854166666666664E-2</v>
      </c>
      <c r="L76" s="59" t="s">
        <v>459</v>
      </c>
      <c r="M76" s="51"/>
      <c r="N76" s="51"/>
      <c r="O76" s="51"/>
      <c r="P76" s="51"/>
      <c r="Q76" s="37" t="str">
        <f t="shared" ca="1" si="0"/>
        <v/>
      </c>
      <c r="R76" s="52"/>
      <c r="S76" s="52"/>
      <c r="T76" s="52"/>
      <c r="U76" s="61"/>
      <c r="V76" s="62"/>
      <c r="W76" s="63"/>
      <c r="X76" s="64"/>
      <c r="Y76" s="51"/>
      <c r="Z76" s="51"/>
      <c r="AA76" s="51"/>
      <c r="AB76" s="51"/>
    </row>
    <row r="77" spans="1:28">
      <c r="A77" s="51">
        <v>76</v>
      </c>
      <c r="B77" s="52"/>
      <c r="C77" s="61"/>
      <c r="D77" s="51"/>
      <c r="E77" s="51" t="s">
        <v>541</v>
      </c>
      <c r="F77" s="55" t="s">
        <v>542</v>
      </c>
      <c r="G77" s="56"/>
      <c r="H77" s="57"/>
      <c r="I77" s="51"/>
      <c r="J77" s="51">
        <f>7.9*1000</f>
        <v>7900</v>
      </c>
      <c r="K77" s="58">
        <v>2.476851851851852E-2</v>
      </c>
      <c r="L77" s="59" t="s">
        <v>459</v>
      </c>
      <c r="M77" s="51"/>
      <c r="N77" s="51"/>
      <c r="O77" s="51"/>
      <c r="P77" s="51"/>
      <c r="Q77" s="37" t="str">
        <f t="shared" ca="1" si="0"/>
        <v/>
      </c>
      <c r="R77" s="52"/>
      <c r="S77" s="52"/>
      <c r="T77" s="52"/>
      <c r="U77" s="61"/>
      <c r="V77" s="62"/>
      <c r="W77" s="63"/>
      <c r="X77" s="64"/>
      <c r="Y77" s="51"/>
      <c r="Z77" s="51"/>
      <c r="AA77" s="51"/>
      <c r="AB77" s="51"/>
    </row>
    <row r="78" spans="1:28">
      <c r="A78" s="51">
        <v>77</v>
      </c>
      <c r="B78" s="52"/>
      <c r="C78" s="61"/>
      <c r="D78" s="51"/>
      <c r="E78" s="51" t="s">
        <v>546</v>
      </c>
      <c r="F78" s="55" t="s">
        <v>547</v>
      </c>
      <c r="G78" s="56"/>
      <c r="H78" s="57"/>
      <c r="I78" s="51"/>
      <c r="J78" s="51">
        <f>11*1000</f>
        <v>11000</v>
      </c>
      <c r="K78" s="58">
        <v>3.75462962962963E-2</v>
      </c>
      <c r="L78" s="59" t="s">
        <v>459</v>
      </c>
      <c r="M78" s="51"/>
      <c r="N78" s="51"/>
      <c r="O78" s="51"/>
      <c r="P78" s="51"/>
      <c r="Q78" s="37" t="str">
        <f t="shared" ca="1" si="0"/>
        <v/>
      </c>
      <c r="R78" s="52"/>
      <c r="S78" s="52"/>
      <c r="T78" s="52"/>
      <c r="U78" s="61"/>
      <c r="V78" s="62"/>
      <c r="W78" s="63"/>
      <c r="X78" s="64"/>
      <c r="Y78" s="51"/>
      <c r="Z78" s="51"/>
      <c r="AA78" s="51"/>
      <c r="AB78" s="51"/>
    </row>
    <row r="79" spans="1:28">
      <c r="A79" s="51">
        <v>78</v>
      </c>
      <c r="B79" s="52"/>
      <c r="C79" s="61"/>
      <c r="D79" s="51"/>
      <c r="E79" s="51" t="s">
        <v>549</v>
      </c>
      <c r="F79" s="55" t="s">
        <v>551</v>
      </c>
      <c r="G79" s="56"/>
      <c r="H79" s="57"/>
      <c r="I79" s="51"/>
      <c r="J79" s="51">
        <f>6.6*1000</f>
        <v>6600</v>
      </c>
      <c r="K79" s="58">
        <v>2.4131944444444445E-2</v>
      </c>
      <c r="L79" s="59" t="s">
        <v>459</v>
      </c>
      <c r="M79" s="51"/>
      <c r="N79" s="51"/>
      <c r="O79" s="51"/>
      <c r="P79" s="51"/>
      <c r="Q79" s="37" t="str">
        <f t="shared" ca="1" si="0"/>
        <v/>
      </c>
      <c r="R79" s="52"/>
      <c r="S79" s="52"/>
      <c r="T79" s="52"/>
      <c r="U79" s="61"/>
      <c r="V79" s="62"/>
      <c r="W79" s="63"/>
      <c r="X79" s="64"/>
      <c r="Y79" s="51"/>
      <c r="Z79" s="51"/>
      <c r="AA79" s="51"/>
      <c r="AB79" s="51"/>
    </row>
    <row r="80" spans="1:28">
      <c r="A80" s="51">
        <v>79</v>
      </c>
      <c r="B80" s="69" t="s">
        <v>97</v>
      </c>
      <c r="C80" s="53"/>
      <c r="D80" s="54" t="s">
        <v>120</v>
      </c>
      <c r="E80" s="51" t="s">
        <v>555</v>
      </c>
      <c r="F80" s="55" t="s">
        <v>556</v>
      </c>
      <c r="G80" s="56"/>
      <c r="H80" s="57"/>
      <c r="I80" s="51"/>
      <c r="J80" s="51">
        <f>5.8*1000</f>
        <v>5800</v>
      </c>
      <c r="K80" s="58">
        <v>3.2534722222222222E-2</v>
      </c>
      <c r="L80" s="59" t="s">
        <v>459</v>
      </c>
      <c r="M80" s="51"/>
      <c r="N80" s="51"/>
      <c r="O80" s="51"/>
      <c r="P80" s="51"/>
      <c r="Q80" s="37" t="str">
        <f t="shared" ca="1" si="0"/>
        <v/>
      </c>
      <c r="R80" s="52"/>
      <c r="S80" s="52"/>
      <c r="T80" s="52"/>
      <c r="U80" s="61"/>
      <c r="V80" s="62"/>
      <c r="W80" s="63"/>
      <c r="X80" s="64"/>
      <c r="Y80" s="51"/>
      <c r="Z80" s="51"/>
      <c r="AA80" s="51"/>
      <c r="AB80" s="51"/>
    </row>
    <row r="81" spans="1:28">
      <c r="A81" s="51">
        <v>80</v>
      </c>
      <c r="B81" s="52"/>
      <c r="C81" s="61"/>
      <c r="D81" s="51"/>
      <c r="E81" s="51" t="s">
        <v>560</v>
      </c>
      <c r="F81" s="55" t="s">
        <v>561</v>
      </c>
      <c r="G81" s="56"/>
      <c r="H81" s="57"/>
      <c r="I81" s="51"/>
      <c r="J81" s="51">
        <f>4.5*1000</f>
        <v>4500</v>
      </c>
      <c r="K81" s="58">
        <v>9.8958333333333329E-3</v>
      </c>
      <c r="L81" s="59" t="s">
        <v>459</v>
      </c>
      <c r="M81" s="51"/>
      <c r="N81" s="51"/>
      <c r="O81" s="51"/>
      <c r="P81" s="51"/>
      <c r="Q81" s="37" t="str">
        <f t="shared" ca="1" si="0"/>
        <v/>
      </c>
      <c r="R81" s="52"/>
      <c r="S81" s="52"/>
      <c r="T81" s="52"/>
      <c r="U81" s="61"/>
      <c r="V81" s="62"/>
      <c r="W81" s="63"/>
      <c r="X81" s="64"/>
      <c r="Y81" s="51"/>
      <c r="Z81" s="51"/>
      <c r="AA81" s="51"/>
      <c r="AB81" s="51"/>
    </row>
    <row r="82" spans="1:28">
      <c r="A82" s="51">
        <v>81</v>
      </c>
      <c r="B82" s="52"/>
      <c r="C82" s="61"/>
      <c r="D82" s="51"/>
      <c r="E82" s="51" t="s">
        <v>565</v>
      </c>
      <c r="F82" s="55" t="s">
        <v>566</v>
      </c>
      <c r="G82" s="56"/>
      <c r="H82" s="57"/>
      <c r="I82" s="51"/>
      <c r="J82" s="51">
        <f>2*1000</f>
        <v>2000</v>
      </c>
      <c r="K82" s="58">
        <v>2.7893518518518519E-3</v>
      </c>
      <c r="L82" s="59" t="s">
        <v>459</v>
      </c>
      <c r="M82" s="51"/>
      <c r="N82" s="51"/>
      <c r="O82" s="51"/>
      <c r="P82" s="51"/>
      <c r="Q82" s="37" t="str">
        <f t="shared" ca="1" si="0"/>
        <v/>
      </c>
      <c r="R82" s="52"/>
      <c r="S82" s="52"/>
      <c r="T82" s="52"/>
      <c r="U82" s="61"/>
      <c r="V82" s="62"/>
      <c r="W82" s="63"/>
      <c r="X82" s="64"/>
      <c r="Y82" s="51"/>
      <c r="Z82" s="51"/>
      <c r="AA82" s="51"/>
      <c r="AB82" s="51"/>
    </row>
    <row r="83" spans="1:28">
      <c r="A83" s="51">
        <v>82</v>
      </c>
      <c r="B83" s="52"/>
      <c r="C83" s="61"/>
      <c r="D83" s="51"/>
      <c r="E83" s="51" t="s">
        <v>569</v>
      </c>
      <c r="F83" s="55" t="s">
        <v>571</v>
      </c>
      <c r="G83" s="56"/>
      <c r="H83" s="57"/>
      <c r="I83" s="51"/>
      <c r="J83" s="51">
        <f>3.7*1000</f>
        <v>3700</v>
      </c>
      <c r="K83" s="58">
        <v>1.1875000000000002E-2</v>
      </c>
      <c r="L83" s="59" t="s">
        <v>459</v>
      </c>
      <c r="M83" s="51"/>
      <c r="N83" s="51"/>
      <c r="O83" s="51"/>
      <c r="P83" s="51"/>
      <c r="Q83" s="37" t="str">
        <f t="shared" ca="1" si="0"/>
        <v/>
      </c>
      <c r="R83" s="52"/>
      <c r="S83" s="52"/>
      <c r="T83" s="52"/>
      <c r="U83" s="61"/>
      <c r="V83" s="62"/>
      <c r="W83" s="63"/>
      <c r="X83" s="64"/>
      <c r="Y83" s="51"/>
      <c r="Z83" s="51"/>
      <c r="AA83" s="51"/>
      <c r="AB83" s="51"/>
    </row>
    <row r="84" spans="1:28">
      <c r="A84" s="51">
        <v>83</v>
      </c>
      <c r="B84" s="52"/>
      <c r="C84" s="61"/>
      <c r="D84" s="51"/>
      <c r="E84" s="51" t="s">
        <v>574</v>
      </c>
      <c r="F84" s="55" t="s">
        <v>575</v>
      </c>
      <c r="G84" s="56"/>
      <c r="H84" s="57"/>
      <c r="I84" s="51"/>
      <c r="J84" s="51">
        <f>965</f>
        <v>965</v>
      </c>
      <c r="K84" s="58">
        <v>1.6087962962962963E-3</v>
      </c>
      <c r="L84" s="59" t="s">
        <v>459</v>
      </c>
      <c r="M84" s="51"/>
      <c r="N84" s="51"/>
      <c r="O84" s="51"/>
      <c r="P84" s="51"/>
      <c r="Q84" s="37" t="str">
        <f t="shared" ca="1" si="0"/>
        <v/>
      </c>
      <c r="R84" s="52"/>
      <c r="S84" s="52"/>
      <c r="T84" s="52"/>
      <c r="U84" s="61"/>
      <c r="V84" s="62"/>
      <c r="W84" s="63"/>
      <c r="X84" s="64"/>
      <c r="Y84" s="51"/>
      <c r="Z84" s="51"/>
      <c r="AA84" s="51"/>
      <c r="AB84" s="51"/>
    </row>
    <row r="85" spans="1:28">
      <c r="A85" s="51">
        <v>84</v>
      </c>
      <c r="B85" s="69" t="s">
        <v>98</v>
      </c>
      <c r="C85" s="61"/>
      <c r="D85" s="51"/>
      <c r="E85" s="51" t="s">
        <v>579</v>
      </c>
      <c r="F85" s="55" t="s">
        <v>580</v>
      </c>
      <c r="G85" s="56"/>
      <c r="H85" s="57"/>
      <c r="I85" s="51"/>
      <c r="J85" s="51">
        <f>3.9*1000</f>
        <v>3900</v>
      </c>
      <c r="K85" s="58">
        <v>4.2152777777777782E-2</v>
      </c>
      <c r="L85" s="59" t="s">
        <v>459</v>
      </c>
      <c r="M85" s="51"/>
      <c r="N85" s="51"/>
      <c r="O85" s="51"/>
      <c r="P85" s="51"/>
      <c r="Q85" s="37" t="str">
        <f t="shared" ca="1" si="0"/>
        <v/>
      </c>
      <c r="R85" s="52"/>
      <c r="S85" s="52"/>
      <c r="T85" s="52"/>
      <c r="U85" s="61"/>
      <c r="V85" s="62"/>
      <c r="W85" s="63"/>
      <c r="X85" s="64"/>
      <c r="Y85" s="51"/>
      <c r="Z85" s="51"/>
      <c r="AA85" s="51"/>
      <c r="AB85" s="51"/>
    </row>
    <row r="86" spans="1:28">
      <c r="A86" s="51">
        <v>85</v>
      </c>
      <c r="B86" s="52"/>
      <c r="C86" s="61"/>
      <c r="D86" s="51"/>
      <c r="E86" s="51" t="s">
        <v>583</v>
      </c>
      <c r="F86" s="55" t="s">
        <v>584</v>
      </c>
      <c r="G86" s="56"/>
      <c r="H86" s="57"/>
      <c r="I86" s="51"/>
      <c r="J86" s="51">
        <f>3.5*1000</f>
        <v>3500</v>
      </c>
      <c r="K86" s="58">
        <v>7.0949074074074074E-3</v>
      </c>
      <c r="L86" s="59" t="s">
        <v>459</v>
      </c>
      <c r="M86" s="51"/>
      <c r="N86" s="51"/>
      <c r="O86" s="51"/>
      <c r="P86" s="51"/>
      <c r="Q86" s="37" t="str">
        <f t="shared" ca="1" si="0"/>
        <v/>
      </c>
      <c r="R86" s="52"/>
      <c r="S86" s="52"/>
      <c r="T86" s="52"/>
      <c r="U86" s="61"/>
      <c r="V86" s="62"/>
      <c r="W86" s="63"/>
      <c r="X86" s="64"/>
      <c r="Y86" s="51"/>
      <c r="Z86" s="51"/>
      <c r="AA86" s="51"/>
      <c r="AB86" s="51"/>
    </row>
    <row r="87" spans="1:28">
      <c r="A87" s="51">
        <v>86</v>
      </c>
      <c r="B87" s="52"/>
      <c r="C87" s="61"/>
      <c r="D87" s="51"/>
      <c r="E87" s="51" t="s">
        <v>588</v>
      </c>
      <c r="F87" s="55" t="s">
        <v>589</v>
      </c>
      <c r="G87" s="56"/>
      <c r="H87" s="57"/>
      <c r="I87" s="51"/>
      <c r="J87" s="51">
        <f>7.4*1000</f>
        <v>7400</v>
      </c>
      <c r="K87" s="58">
        <v>2.7337962962962963E-2</v>
      </c>
      <c r="L87" s="59" t="s">
        <v>459</v>
      </c>
      <c r="M87" s="51"/>
      <c r="N87" s="51"/>
      <c r="O87" s="51"/>
      <c r="P87" s="51"/>
      <c r="Q87" s="37" t="str">
        <f t="shared" ca="1" si="0"/>
        <v/>
      </c>
      <c r="R87" s="52"/>
      <c r="S87" s="52"/>
      <c r="T87" s="52"/>
      <c r="U87" s="61"/>
      <c r="V87" s="62"/>
      <c r="W87" s="63"/>
      <c r="X87" s="64"/>
      <c r="Y87" s="51"/>
      <c r="Z87" s="51"/>
      <c r="AA87" s="51"/>
      <c r="AB87" s="51"/>
    </row>
    <row r="88" spans="1:28">
      <c r="A88" s="51">
        <v>87</v>
      </c>
      <c r="B88" s="52"/>
      <c r="C88" s="61"/>
      <c r="D88" s="51"/>
      <c r="E88" s="51" t="s">
        <v>593</v>
      </c>
      <c r="F88" s="55" t="s">
        <v>594</v>
      </c>
      <c r="G88" s="56"/>
      <c r="H88" s="57"/>
      <c r="I88" s="51"/>
      <c r="J88" s="51">
        <f>4*1000</f>
        <v>4000</v>
      </c>
      <c r="K88" s="58">
        <v>1.068287037037037E-2</v>
      </c>
      <c r="L88" s="59" t="s">
        <v>459</v>
      </c>
      <c r="M88" s="51"/>
      <c r="N88" s="51"/>
      <c r="O88" s="51"/>
      <c r="P88" s="51"/>
      <c r="Q88" s="37" t="str">
        <f t="shared" ca="1" si="0"/>
        <v/>
      </c>
      <c r="R88" s="52"/>
      <c r="S88" s="52"/>
      <c r="T88" s="52"/>
      <c r="U88" s="61"/>
      <c r="V88" s="62"/>
      <c r="W88" s="63"/>
      <c r="X88" s="64"/>
      <c r="Y88" s="51"/>
      <c r="Z88" s="51"/>
      <c r="AA88" s="51"/>
      <c r="AB88" s="51"/>
    </row>
    <row r="89" spans="1:28">
      <c r="A89" s="51">
        <v>88</v>
      </c>
      <c r="B89" s="52"/>
      <c r="C89" s="61"/>
      <c r="D89" s="51"/>
      <c r="E89" s="51" t="s">
        <v>599</v>
      </c>
      <c r="F89" s="55" t="s">
        <v>600</v>
      </c>
      <c r="G89" s="56"/>
      <c r="H89" s="57"/>
      <c r="I89" s="51"/>
      <c r="J89" s="51">
        <f>4.1*1000</f>
        <v>4100</v>
      </c>
      <c r="K89" s="58">
        <v>1.8055555555555557E-2</v>
      </c>
      <c r="L89" s="59" t="s">
        <v>459</v>
      </c>
      <c r="M89" s="51"/>
      <c r="N89" s="51"/>
      <c r="O89" s="51"/>
      <c r="P89" s="51"/>
      <c r="Q89" s="37" t="str">
        <f t="shared" ca="1" si="0"/>
        <v/>
      </c>
      <c r="R89" s="52"/>
      <c r="S89" s="52"/>
      <c r="T89" s="52"/>
      <c r="U89" s="61"/>
      <c r="V89" s="62"/>
      <c r="W89" s="63"/>
      <c r="X89" s="64"/>
      <c r="Y89" s="51"/>
      <c r="Z89" s="51"/>
      <c r="AA89" s="51"/>
      <c r="AB89" s="51"/>
    </row>
    <row r="90" spans="1:28">
      <c r="A90" s="51">
        <v>89</v>
      </c>
      <c r="B90" s="52"/>
      <c r="C90" s="61"/>
      <c r="D90" s="51"/>
      <c r="E90" s="51" t="s">
        <v>607</v>
      </c>
      <c r="F90" s="55" t="s">
        <v>608</v>
      </c>
      <c r="G90" s="56"/>
      <c r="H90" s="57"/>
      <c r="I90" s="51"/>
      <c r="J90" s="51">
        <f>15*1000</f>
        <v>15000</v>
      </c>
      <c r="K90" s="58">
        <v>4.02662037037037E-2</v>
      </c>
      <c r="L90" s="59" t="s">
        <v>459</v>
      </c>
      <c r="M90" s="51"/>
      <c r="N90" s="51"/>
      <c r="O90" s="51"/>
      <c r="P90" s="51"/>
      <c r="Q90" s="37" t="str">
        <f t="shared" ca="1" si="0"/>
        <v/>
      </c>
      <c r="R90" s="52"/>
      <c r="S90" s="52"/>
      <c r="T90" s="52"/>
      <c r="U90" s="61"/>
      <c r="V90" s="62"/>
      <c r="W90" s="63"/>
      <c r="X90" s="64"/>
      <c r="Y90" s="51"/>
      <c r="Z90" s="51"/>
      <c r="AA90" s="51"/>
      <c r="AB90" s="51"/>
    </row>
    <row r="91" spans="1:28">
      <c r="A91" s="51">
        <v>90</v>
      </c>
      <c r="B91" s="52"/>
      <c r="C91" s="61"/>
      <c r="D91" s="51"/>
      <c r="E91" s="51" t="s">
        <v>611</v>
      </c>
      <c r="F91" s="55" t="s">
        <v>613</v>
      </c>
      <c r="G91" s="56"/>
      <c r="H91" s="57"/>
      <c r="I91" s="51"/>
      <c r="J91" s="51">
        <f>4.4*1000</f>
        <v>4400</v>
      </c>
      <c r="K91" s="58">
        <v>2.1643518518518518E-3</v>
      </c>
      <c r="L91" s="59" t="s">
        <v>459</v>
      </c>
      <c r="M91" s="51"/>
      <c r="N91" s="51"/>
      <c r="O91" s="51"/>
      <c r="P91" s="51"/>
      <c r="Q91" s="37" t="str">
        <f t="shared" ca="1" si="0"/>
        <v/>
      </c>
      <c r="R91" s="52"/>
      <c r="S91" s="52"/>
      <c r="T91" s="52"/>
      <c r="U91" s="61"/>
      <c r="V91" s="62"/>
      <c r="W91" s="63"/>
      <c r="X91" s="64"/>
      <c r="Y91" s="18"/>
      <c r="Z91" s="18"/>
      <c r="AA91" s="18"/>
      <c r="AB91" s="18"/>
    </row>
    <row r="92" spans="1:28">
      <c r="A92" s="51">
        <v>91</v>
      </c>
      <c r="B92" s="69" t="s">
        <v>118</v>
      </c>
      <c r="C92" s="53"/>
      <c r="D92" s="54" t="s">
        <v>120</v>
      </c>
      <c r="E92" s="51" t="s">
        <v>616</v>
      </c>
      <c r="F92" s="55" t="s">
        <v>617</v>
      </c>
      <c r="G92" s="56"/>
      <c r="H92" s="57"/>
      <c r="I92" s="51"/>
      <c r="J92" s="51">
        <f>44*1000</f>
        <v>44000</v>
      </c>
      <c r="K92" s="58">
        <v>2.4074074074074071E-2</v>
      </c>
      <c r="L92" s="59" t="s">
        <v>459</v>
      </c>
      <c r="M92" s="51"/>
      <c r="N92" s="51"/>
      <c r="O92" s="51"/>
      <c r="P92" s="100">
        <v>42998</v>
      </c>
      <c r="Q92" s="37" t="str">
        <f t="shared" ca="1" si="0"/>
        <v/>
      </c>
      <c r="R92" s="69"/>
      <c r="S92" s="69"/>
      <c r="T92" s="69"/>
      <c r="U92" s="61"/>
      <c r="V92" s="62"/>
      <c r="W92" s="63"/>
      <c r="X92" s="64"/>
      <c r="Y92" s="18"/>
      <c r="Z92" s="18"/>
      <c r="AA92" s="18"/>
      <c r="AB92" s="18"/>
    </row>
    <row r="93" spans="1:28">
      <c r="A93" s="51">
        <v>92</v>
      </c>
      <c r="B93" s="52"/>
      <c r="C93" s="61"/>
      <c r="D93" s="51"/>
      <c r="E93" s="51" t="s">
        <v>621</v>
      </c>
      <c r="F93" s="55" t="s">
        <v>622</v>
      </c>
      <c r="G93" s="56"/>
      <c r="H93" s="57"/>
      <c r="I93" s="51"/>
      <c r="J93" s="51">
        <f>6.3*1000</f>
        <v>6300</v>
      </c>
      <c r="K93" s="58">
        <v>2.6006944444444447E-2</v>
      </c>
      <c r="L93" s="59" t="s">
        <v>459</v>
      </c>
      <c r="M93" s="51"/>
      <c r="N93" s="51"/>
      <c r="O93" s="51"/>
      <c r="P93" s="51"/>
      <c r="Q93" s="37" t="str">
        <f t="shared" ca="1" si="0"/>
        <v/>
      </c>
      <c r="R93" s="52"/>
      <c r="S93" s="52"/>
      <c r="T93" s="52"/>
      <c r="U93" s="61"/>
      <c r="V93" s="62"/>
      <c r="W93" s="63"/>
      <c r="X93" s="64"/>
      <c r="Y93" s="18"/>
      <c r="Z93" s="18"/>
      <c r="AA93" s="18"/>
      <c r="AB93" s="18"/>
    </row>
    <row r="94" spans="1:28">
      <c r="A94" s="51">
        <v>93</v>
      </c>
      <c r="B94" s="52"/>
      <c r="C94" s="61"/>
      <c r="D94" s="51"/>
      <c r="E94" s="51" t="s">
        <v>625</v>
      </c>
      <c r="F94" s="55" t="s">
        <v>626</v>
      </c>
      <c r="G94" s="56"/>
      <c r="H94" s="57"/>
      <c r="I94" s="51"/>
      <c r="J94" s="51">
        <f>986</f>
        <v>986</v>
      </c>
      <c r="K94" s="58">
        <v>3.5682870370370372E-2</v>
      </c>
      <c r="L94" s="59" t="s">
        <v>459</v>
      </c>
      <c r="M94" s="51"/>
      <c r="N94" s="51"/>
      <c r="O94" s="51"/>
      <c r="P94" s="51"/>
      <c r="Q94" s="37" t="str">
        <f t="shared" ca="1" si="0"/>
        <v/>
      </c>
      <c r="R94" s="52"/>
      <c r="S94" s="52"/>
      <c r="T94" s="52"/>
      <c r="U94" s="61"/>
      <c r="V94" s="62"/>
      <c r="W94" s="63"/>
      <c r="X94" s="64"/>
      <c r="Y94" s="18"/>
      <c r="Z94" s="18"/>
      <c r="AA94" s="18"/>
      <c r="AB94" s="18"/>
    </row>
    <row r="95" spans="1:28">
      <c r="A95" s="51">
        <v>94</v>
      </c>
      <c r="B95" s="69" t="s">
        <v>97</v>
      </c>
      <c r="C95" s="53"/>
      <c r="D95" s="54" t="s">
        <v>120</v>
      </c>
      <c r="E95" s="51" t="s">
        <v>631</v>
      </c>
      <c r="F95" s="55" t="s">
        <v>632</v>
      </c>
      <c r="G95" s="56"/>
      <c r="H95" s="57"/>
      <c r="I95" s="51"/>
      <c r="J95" s="51">
        <f>2.5*1000</f>
        <v>2500</v>
      </c>
      <c r="K95" s="58">
        <v>6.6493055555555555E-2</v>
      </c>
      <c r="L95" s="59" t="s">
        <v>459</v>
      </c>
      <c r="M95" s="51"/>
      <c r="N95" s="51"/>
      <c r="O95" s="51"/>
      <c r="P95" s="100">
        <v>43010</v>
      </c>
      <c r="Q95" s="37" t="str">
        <f t="shared" ca="1" si="0"/>
        <v/>
      </c>
      <c r="R95" s="52"/>
      <c r="S95" s="52"/>
      <c r="T95" s="52"/>
      <c r="U95" s="61"/>
      <c r="V95" s="62"/>
      <c r="W95" s="63"/>
      <c r="X95" s="64"/>
      <c r="Y95" s="18"/>
      <c r="Z95" s="18"/>
      <c r="AA95" s="18"/>
      <c r="AB95" s="18"/>
    </row>
    <row r="96" spans="1:28">
      <c r="A96" s="51">
        <v>95</v>
      </c>
      <c r="B96" s="52"/>
      <c r="C96" s="61"/>
      <c r="D96" s="51"/>
      <c r="E96" s="51" t="s">
        <v>634</v>
      </c>
      <c r="F96" s="55" t="s">
        <v>635</v>
      </c>
      <c r="G96" s="56"/>
      <c r="H96" s="57"/>
      <c r="I96" s="51"/>
      <c r="J96" s="51">
        <f>1.5*1000</f>
        <v>1500</v>
      </c>
      <c r="K96" s="58">
        <v>5.9027777777777776E-3</v>
      </c>
      <c r="L96" s="59" t="s">
        <v>459</v>
      </c>
      <c r="M96" s="51"/>
      <c r="N96" s="51"/>
      <c r="O96" s="51"/>
      <c r="P96" s="51"/>
      <c r="Q96" s="37" t="str">
        <f t="shared" ca="1" si="0"/>
        <v/>
      </c>
      <c r="R96" s="52"/>
      <c r="S96" s="52"/>
      <c r="T96" s="52"/>
      <c r="U96" s="61"/>
      <c r="V96" s="62"/>
      <c r="W96" s="63"/>
      <c r="X96" s="64"/>
      <c r="Y96" s="18"/>
      <c r="Z96" s="18"/>
      <c r="AA96" s="18"/>
      <c r="AB96" s="18"/>
    </row>
    <row r="97" spans="1:28">
      <c r="A97" s="51">
        <v>96</v>
      </c>
      <c r="B97" s="52"/>
      <c r="C97" s="61"/>
      <c r="D97" s="51"/>
      <c r="E97" s="51" t="s">
        <v>638</v>
      </c>
      <c r="F97" s="55" t="s">
        <v>640</v>
      </c>
      <c r="G97" s="56"/>
      <c r="H97" s="57"/>
      <c r="I97" s="51"/>
      <c r="J97" s="51">
        <f>1.2*1000</f>
        <v>1200</v>
      </c>
      <c r="K97" s="58">
        <v>1.1655092592592594E-2</v>
      </c>
      <c r="L97" s="59" t="s">
        <v>459</v>
      </c>
      <c r="M97" s="51"/>
      <c r="N97" s="51"/>
      <c r="O97" s="51"/>
      <c r="P97" s="51"/>
      <c r="Q97" s="37" t="str">
        <f t="shared" ca="1" si="0"/>
        <v/>
      </c>
      <c r="R97" s="52"/>
      <c r="S97" s="52"/>
      <c r="T97" s="52"/>
      <c r="U97" s="61"/>
      <c r="V97" s="62"/>
      <c r="W97" s="63"/>
      <c r="X97" s="64"/>
      <c r="Y97" s="18"/>
      <c r="Z97" s="18"/>
      <c r="AA97" s="18"/>
      <c r="AB97" s="18"/>
    </row>
    <row r="98" spans="1:28">
      <c r="A98" s="51">
        <v>97</v>
      </c>
      <c r="B98" s="52"/>
      <c r="C98" s="61"/>
      <c r="D98" s="51"/>
      <c r="E98" s="51" t="s">
        <v>644</v>
      </c>
      <c r="F98" s="55" t="s">
        <v>645</v>
      </c>
      <c r="G98" s="56"/>
      <c r="H98" s="57"/>
      <c r="I98" s="51"/>
      <c r="J98" s="51">
        <f>1.9*1000</f>
        <v>1900</v>
      </c>
      <c r="K98" s="58">
        <v>2.1087962962962961E-2</v>
      </c>
      <c r="L98" s="59" t="s">
        <v>459</v>
      </c>
      <c r="M98" s="51"/>
      <c r="N98" s="51"/>
      <c r="O98" s="51"/>
      <c r="P98" s="51"/>
      <c r="Q98" s="37" t="str">
        <f t="shared" ca="1" si="0"/>
        <v/>
      </c>
      <c r="R98" s="52"/>
      <c r="S98" s="52"/>
      <c r="T98" s="52"/>
      <c r="U98" s="61"/>
      <c r="V98" s="62"/>
      <c r="W98" s="63"/>
      <c r="X98" s="64"/>
      <c r="Y98" s="18"/>
      <c r="Z98" s="18"/>
      <c r="AA98" s="18"/>
      <c r="AB98" s="18"/>
    </row>
    <row r="99" spans="1:28">
      <c r="A99" s="51">
        <v>98</v>
      </c>
      <c r="B99" s="52"/>
      <c r="C99" s="61"/>
      <c r="D99" s="51"/>
      <c r="E99" s="51" t="s">
        <v>650</v>
      </c>
      <c r="F99" s="55" t="s">
        <v>651</v>
      </c>
      <c r="G99" s="56"/>
      <c r="H99" s="57"/>
      <c r="I99" s="51"/>
      <c r="J99" s="51">
        <f>2.3*1000</f>
        <v>2300</v>
      </c>
      <c r="K99" s="58">
        <v>3.4467592592592591E-2</v>
      </c>
      <c r="L99" s="59" t="s">
        <v>459</v>
      </c>
      <c r="M99" s="51"/>
      <c r="N99" s="51"/>
      <c r="O99" s="51"/>
      <c r="P99" s="51"/>
      <c r="Q99" s="37" t="str">
        <f t="shared" ca="1" si="0"/>
        <v/>
      </c>
      <c r="R99" s="52"/>
      <c r="S99" s="52"/>
      <c r="T99" s="52"/>
      <c r="U99" s="61"/>
      <c r="V99" s="62"/>
      <c r="W99" s="63"/>
      <c r="X99" s="64"/>
      <c r="Y99" s="18"/>
      <c r="Z99" s="18"/>
      <c r="AA99" s="18"/>
      <c r="AB99" s="18"/>
    </row>
    <row r="100" spans="1:28">
      <c r="A100" s="51">
        <v>99</v>
      </c>
      <c r="B100" s="52"/>
      <c r="C100" s="61"/>
      <c r="D100" s="51"/>
      <c r="E100" s="51" t="s">
        <v>656</v>
      </c>
      <c r="F100" s="55" t="s">
        <v>657</v>
      </c>
      <c r="G100" s="56"/>
      <c r="H100" s="57"/>
      <c r="I100" s="51"/>
      <c r="J100" s="51">
        <f>1.4*1000</f>
        <v>1400</v>
      </c>
      <c r="K100" s="58">
        <v>2.8483796296296295E-2</v>
      </c>
      <c r="L100" s="59" t="s">
        <v>459</v>
      </c>
      <c r="M100" s="51"/>
      <c r="N100" s="51"/>
      <c r="O100" s="51"/>
      <c r="P100" s="51"/>
      <c r="Q100" s="37" t="str">
        <f t="shared" ca="1" si="0"/>
        <v/>
      </c>
      <c r="R100" s="52"/>
      <c r="S100" s="52"/>
      <c r="T100" s="52"/>
      <c r="U100" s="61"/>
      <c r="V100" s="62"/>
      <c r="W100" s="63"/>
      <c r="X100" s="64"/>
      <c r="Y100" s="18"/>
      <c r="Z100" s="18"/>
      <c r="AA100" s="18"/>
      <c r="AB100" s="18"/>
    </row>
    <row r="101" spans="1:28">
      <c r="A101" s="51">
        <v>100</v>
      </c>
      <c r="B101" s="52"/>
      <c r="C101" s="61"/>
      <c r="D101" s="51"/>
      <c r="E101" s="51" t="s">
        <v>660</v>
      </c>
      <c r="F101" s="55" t="s">
        <v>661</v>
      </c>
      <c r="G101" s="56"/>
      <c r="H101" s="57"/>
      <c r="I101" s="51"/>
      <c r="J101" s="51">
        <f>3.7*1000</f>
        <v>3700</v>
      </c>
      <c r="K101" s="58">
        <v>2.4837962962962964E-2</v>
      </c>
      <c r="L101" s="59" t="s">
        <v>459</v>
      </c>
      <c r="M101" s="51"/>
      <c r="N101" s="51"/>
      <c r="O101" s="51"/>
      <c r="P101" s="51"/>
      <c r="Q101" s="37" t="str">
        <f t="shared" ca="1" si="0"/>
        <v/>
      </c>
      <c r="R101" s="52"/>
      <c r="S101" s="52"/>
      <c r="T101" s="52"/>
      <c r="U101" s="61"/>
      <c r="V101" s="62"/>
      <c r="W101" s="63"/>
      <c r="X101" s="64"/>
      <c r="Y101" s="18"/>
      <c r="Z101" s="18"/>
      <c r="AA101" s="18"/>
      <c r="AB101" s="18"/>
    </row>
    <row r="102" spans="1:28">
      <c r="A102" s="51">
        <v>101</v>
      </c>
      <c r="B102" s="52"/>
      <c r="C102" s="61"/>
      <c r="D102" s="51"/>
      <c r="E102" s="51" t="s">
        <v>665</v>
      </c>
      <c r="F102" s="55" t="s">
        <v>666</v>
      </c>
      <c r="G102" s="56"/>
      <c r="H102" s="57"/>
      <c r="I102" s="51"/>
      <c r="J102" s="51">
        <f>22*1000</f>
        <v>22000</v>
      </c>
      <c r="K102" s="58">
        <v>4.5879629629629631E-2</v>
      </c>
      <c r="L102" s="59" t="s">
        <v>459</v>
      </c>
      <c r="M102" s="51"/>
      <c r="N102" s="51"/>
      <c r="O102" s="51"/>
      <c r="P102" s="51"/>
      <c r="Q102" s="37" t="str">
        <f t="shared" ca="1" si="0"/>
        <v/>
      </c>
      <c r="R102" s="52"/>
      <c r="S102" s="52"/>
      <c r="T102" s="52"/>
      <c r="U102" s="61"/>
      <c r="V102" s="62"/>
      <c r="W102" s="63"/>
      <c r="X102" s="64"/>
      <c r="Y102" s="18"/>
      <c r="Z102" s="18"/>
      <c r="AA102" s="18"/>
      <c r="AB102" s="18"/>
    </row>
    <row r="103" spans="1:28">
      <c r="A103" s="51">
        <v>102</v>
      </c>
      <c r="B103" s="52"/>
      <c r="C103" s="61"/>
      <c r="D103" s="51"/>
      <c r="E103" s="51" t="s">
        <v>532</v>
      </c>
      <c r="F103" s="55" t="s">
        <v>533</v>
      </c>
      <c r="G103" s="56"/>
      <c r="H103" s="57"/>
      <c r="I103" s="51"/>
      <c r="J103" s="51">
        <f>1.3*1000</f>
        <v>1300</v>
      </c>
      <c r="K103" s="58">
        <v>1.1990740740740739E-2</v>
      </c>
      <c r="L103" s="59" t="s">
        <v>459</v>
      </c>
      <c r="M103" s="51"/>
      <c r="N103" s="51"/>
      <c r="O103" s="51"/>
      <c r="P103" s="51"/>
      <c r="Q103" s="37" t="str">
        <f t="shared" ca="1" si="0"/>
        <v/>
      </c>
      <c r="R103" s="52"/>
      <c r="S103" s="52"/>
      <c r="T103" s="52"/>
      <c r="U103" s="61"/>
      <c r="V103" s="62"/>
      <c r="W103" s="63"/>
      <c r="X103" s="64"/>
      <c r="Y103" s="18"/>
      <c r="Z103" s="18"/>
      <c r="AA103" s="18"/>
      <c r="AB103" s="18"/>
    </row>
    <row r="104" spans="1:28">
      <c r="A104" s="51">
        <v>103</v>
      </c>
      <c r="B104" s="52"/>
      <c r="C104" s="61"/>
      <c r="D104" s="51"/>
      <c r="E104" s="51" t="s">
        <v>539</v>
      </c>
      <c r="F104" s="55" t="s">
        <v>540</v>
      </c>
      <c r="G104" s="56"/>
      <c r="H104" s="57"/>
      <c r="I104" s="51"/>
      <c r="J104" s="51">
        <f>7.9*1000</f>
        <v>7900</v>
      </c>
      <c r="K104" s="58">
        <v>9.7002314814814805E-2</v>
      </c>
      <c r="L104" s="59" t="s">
        <v>459</v>
      </c>
      <c r="M104" s="51"/>
      <c r="N104" s="51"/>
      <c r="O104" s="51"/>
      <c r="P104" s="51"/>
      <c r="Q104" s="37" t="str">
        <f t="shared" ca="1" si="0"/>
        <v/>
      </c>
      <c r="R104" s="52"/>
      <c r="S104" s="52"/>
      <c r="T104" s="52"/>
      <c r="U104" s="61"/>
      <c r="V104" s="62"/>
      <c r="W104" s="63"/>
      <c r="X104" s="64"/>
      <c r="Y104" s="18"/>
      <c r="Z104" s="18"/>
      <c r="AA104" s="18"/>
      <c r="AB104" s="18"/>
    </row>
    <row r="105" spans="1:28">
      <c r="A105" s="51">
        <v>104</v>
      </c>
      <c r="B105" s="52"/>
      <c r="C105" s="61"/>
      <c r="D105" s="51"/>
      <c r="E105" s="51" t="s">
        <v>675</v>
      </c>
      <c r="F105" s="55" t="s">
        <v>676</v>
      </c>
      <c r="G105" s="56"/>
      <c r="H105" s="57"/>
      <c r="I105" s="51"/>
      <c r="J105" s="51">
        <f>4*1000</f>
        <v>4000</v>
      </c>
      <c r="K105" s="58">
        <v>2.3530092592592592E-2</v>
      </c>
      <c r="L105" s="59" t="s">
        <v>459</v>
      </c>
      <c r="M105" s="51"/>
      <c r="N105" s="51"/>
      <c r="O105" s="51"/>
      <c r="P105" s="51"/>
      <c r="Q105" s="37" t="str">
        <f t="shared" ca="1" si="0"/>
        <v/>
      </c>
      <c r="R105" s="52"/>
      <c r="S105" s="52"/>
      <c r="T105" s="52"/>
      <c r="U105" s="61"/>
      <c r="V105" s="62"/>
      <c r="W105" s="63"/>
      <c r="X105" s="64"/>
      <c r="Y105" s="18"/>
      <c r="Z105" s="18"/>
      <c r="AA105" s="18"/>
      <c r="AB105" s="18"/>
    </row>
    <row r="106" spans="1:28">
      <c r="A106" s="51">
        <v>105</v>
      </c>
      <c r="B106" s="52"/>
      <c r="C106" s="61"/>
      <c r="D106" s="51"/>
      <c r="E106" s="51" t="s">
        <v>678</v>
      </c>
      <c r="F106" s="55" t="s">
        <v>679</v>
      </c>
      <c r="G106" s="56"/>
      <c r="H106" s="57"/>
      <c r="I106" s="51"/>
      <c r="J106" s="51">
        <f>3.6*1000</f>
        <v>3600</v>
      </c>
      <c r="K106" s="58">
        <v>8.9583333333333334E-2</v>
      </c>
      <c r="L106" s="59" t="s">
        <v>459</v>
      </c>
      <c r="M106" s="51"/>
      <c r="N106" s="51"/>
      <c r="O106" s="51"/>
      <c r="P106" s="51"/>
      <c r="Q106" s="37" t="str">
        <f t="shared" ca="1" si="0"/>
        <v/>
      </c>
      <c r="R106" s="52"/>
      <c r="S106" s="52"/>
      <c r="T106" s="52"/>
      <c r="U106" s="61"/>
      <c r="V106" s="62"/>
      <c r="W106" s="63"/>
      <c r="X106" s="64"/>
      <c r="Y106" s="18"/>
      <c r="Z106" s="18"/>
      <c r="AA106" s="18"/>
      <c r="AB106" s="18"/>
    </row>
    <row r="107" spans="1:28">
      <c r="A107" s="51">
        <v>106</v>
      </c>
      <c r="B107" s="69" t="s">
        <v>127</v>
      </c>
      <c r="C107" s="61"/>
      <c r="D107" s="51"/>
      <c r="E107" s="51" t="s">
        <v>681</v>
      </c>
      <c r="F107" s="55" t="s">
        <v>682</v>
      </c>
      <c r="G107" s="56"/>
      <c r="H107" s="57"/>
      <c r="I107" s="51"/>
      <c r="J107" s="51">
        <f t="shared" ref="J107:J108" si="3">11*1000</f>
        <v>11000</v>
      </c>
      <c r="K107" s="58">
        <v>5.4884259259259265E-2</v>
      </c>
      <c r="L107" s="59" t="s">
        <v>459</v>
      </c>
      <c r="M107" s="51"/>
      <c r="N107" s="51"/>
      <c r="O107" s="51"/>
      <c r="P107" s="51"/>
      <c r="Q107" s="37" t="str">
        <f t="shared" ca="1" si="0"/>
        <v/>
      </c>
      <c r="R107" s="52"/>
      <c r="S107" s="52"/>
      <c r="T107" s="52"/>
      <c r="U107" s="61"/>
      <c r="V107" s="62"/>
      <c r="W107" s="63"/>
      <c r="X107" s="64"/>
      <c r="Y107" s="18"/>
      <c r="Z107" s="18"/>
      <c r="AA107" s="18"/>
      <c r="AB107" s="18"/>
    </row>
    <row r="108" spans="1:28">
      <c r="A108" s="51">
        <v>107</v>
      </c>
      <c r="B108" s="69" t="s">
        <v>97</v>
      </c>
      <c r="C108" s="53"/>
      <c r="D108" s="54" t="s">
        <v>120</v>
      </c>
      <c r="E108" s="51" t="s">
        <v>618</v>
      </c>
      <c r="F108" s="55" t="s">
        <v>619</v>
      </c>
      <c r="G108" s="56"/>
      <c r="H108" s="57"/>
      <c r="I108" s="51"/>
      <c r="J108" s="51">
        <f t="shared" si="3"/>
        <v>11000</v>
      </c>
      <c r="K108" s="58">
        <v>8.446759259259258E-2</v>
      </c>
      <c r="L108" s="59" t="s">
        <v>459</v>
      </c>
      <c r="M108" s="51"/>
      <c r="N108" s="51"/>
      <c r="O108" s="51"/>
      <c r="P108" s="100">
        <v>43009</v>
      </c>
      <c r="Q108" s="37" t="str">
        <f t="shared" ca="1" si="0"/>
        <v/>
      </c>
      <c r="R108" s="52"/>
      <c r="S108" s="52"/>
      <c r="T108" s="52"/>
      <c r="U108" s="61"/>
      <c r="V108" s="62"/>
      <c r="W108" s="63"/>
      <c r="X108" s="64"/>
      <c r="Y108" s="18"/>
      <c r="Z108" s="18"/>
      <c r="AA108" s="18"/>
      <c r="AB108" s="18"/>
    </row>
    <row r="109" spans="1:28">
      <c r="A109" s="51">
        <v>108</v>
      </c>
      <c r="B109" s="69" t="s">
        <v>127</v>
      </c>
      <c r="C109" s="61"/>
      <c r="D109" s="51"/>
      <c r="E109" s="51" t="s">
        <v>689</v>
      </c>
      <c r="F109" s="55" t="s">
        <v>690</v>
      </c>
      <c r="G109" s="56"/>
      <c r="H109" s="57"/>
      <c r="I109" s="51"/>
      <c r="J109" s="51">
        <f>2.6*1000</f>
        <v>2600</v>
      </c>
      <c r="K109" s="58">
        <v>5.2893518518518513E-2</v>
      </c>
      <c r="L109" s="59" t="s">
        <v>459</v>
      </c>
      <c r="M109" s="51"/>
      <c r="N109" s="51"/>
      <c r="O109" s="51"/>
      <c r="P109" s="51"/>
      <c r="Q109" s="37" t="str">
        <f t="shared" ca="1" si="0"/>
        <v/>
      </c>
      <c r="R109" s="52"/>
      <c r="S109" s="52"/>
      <c r="T109" s="52"/>
      <c r="U109" s="61"/>
      <c r="V109" s="62"/>
      <c r="W109" s="63"/>
      <c r="X109" s="64"/>
      <c r="Y109" s="18"/>
      <c r="Z109" s="18"/>
      <c r="AA109" s="18"/>
      <c r="AB109" s="18"/>
    </row>
    <row r="110" spans="1:28">
      <c r="A110" s="51">
        <v>109</v>
      </c>
      <c r="B110" s="52"/>
      <c r="C110" s="61"/>
      <c r="D110" s="51"/>
      <c r="E110" s="51" t="s">
        <v>696</v>
      </c>
      <c r="F110" s="55" t="s">
        <v>697</v>
      </c>
      <c r="G110" s="56"/>
      <c r="H110" s="57"/>
      <c r="I110" s="51"/>
      <c r="J110" s="51">
        <f>1.4*1000</f>
        <v>1400</v>
      </c>
      <c r="K110" s="58">
        <v>3.1817129629629633E-2</v>
      </c>
      <c r="L110" s="59" t="s">
        <v>459</v>
      </c>
      <c r="M110" s="51"/>
      <c r="N110" s="51"/>
      <c r="O110" s="51"/>
      <c r="P110" s="51"/>
      <c r="Q110" s="37" t="str">
        <f t="shared" ca="1" si="0"/>
        <v/>
      </c>
      <c r="R110" s="52"/>
      <c r="S110" s="52"/>
      <c r="T110" s="52"/>
      <c r="U110" s="61"/>
      <c r="V110" s="62"/>
      <c r="W110" s="63"/>
      <c r="X110" s="64"/>
      <c r="Y110" s="18"/>
      <c r="Z110" s="18"/>
      <c r="AA110" s="18"/>
      <c r="AB110" s="18"/>
    </row>
    <row r="111" spans="1:28">
      <c r="A111" s="51">
        <v>110</v>
      </c>
      <c r="B111" s="69"/>
      <c r="C111" s="61"/>
      <c r="D111" s="54"/>
      <c r="E111" s="51" t="s">
        <v>701</v>
      </c>
      <c r="F111" s="55" t="s">
        <v>702</v>
      </c>
      <c r="G111" s="56"/>
      <c r="H111" s="57"/>
      <c r="I111" s="51"/>
      <c r="J111" s="51">
        <f>15*1000</f>
        <v>15000</v>
      </c>
      <c r="K111" s="58">
        <v>0.10678240740740741</v>
      </c>
      <c r="L111" s="59" t="s">
        <v>459</v>
      </c>
      <c r="M111" s="51"/>
      <c r="N111" s="51"/>
      <c r="O111" s="51"/>
      <c r="P111" s="100"/>
      <c r="Q111" s="37" t="str">
        <f t="shared" ca="1" si="0"/>
        <v/>
      </c>
      <c r="R111" s="52"/>
      <c r="S111" s="52"/>
      <c r="T111" s="52"/>
      <c r="U111" s="61"/>
      <c r="V111" s="62"/>
      <c r="W111" s="63"/>
      <c r="X111" s="64"/>
      <c r="Y111" s="18"/>
      <c r="Z111" s="18"/>
      <c r="AA111" s="18"/>
      <c r="AB111" s="18"/>
    </row>
    <row r="112" spans="1:28">
      <c r="A112" s="51">
        <v>111</v>
      </c>
      <c r="B112" s="52"/>
      <c r="C112" s="61"/>
      <c r="D112" s="51"/>
      <c r="E112" s="51" t="s">
        <v>708</v>
      </c>
      <c r="F112" s="55" t="s">
        <v>709</v>
      </c>
      <c r="G112" s="56"/>
      <c r="H112" s="57"/>
      <c r="I112" s="51"/>
      <c r="J112" s="51">
        <f>888</f>
        <v>888</v>
      </c>
      <c r="K112" s="58">
        <v>4.3055555555555555E-3</v>
      </c>
      <c r="L112" s="59" t="s">
        <v>459</v>
      </c>
      <c r="M112" s="51"/>
      <c r="N112" s="51"/>
      <c r="O112" s="51"/>
      <c r="P112" s="51"/>
      <c r="Q112" s="37" t="str">
        <f t="shared" ca="1" si="0"/>
        <v/>
      </c>
      <c r="R112" s="52"/>
      <c r="S112" s="52"/>
      <c r="T112" s="52"/>
      <c r="U112" s="61"/>
      <c r="V112" s="62"/>
      <c r="W112" s="63"/>
      <c r="X112" s="64"/>
      <c r="Y112" s="18"/>
      <c r="Z112" s="18"/>
      <c r="AA112" s="18"/>
      <c r="AB112" s="18"/>
    </row>
    <row r="113" spans="1:28">
      <c r="A113" s="51">
        <v>112</v>
      </c>
      <c r="B113" s="52"/>
      <c r="C113" s="61"/>
      <c r="D113" s="51"/>
      <c r="E113" s="51" t="s">
        <v>711</v>
      </c>
      <c r="F113" s="55" t="s">
        <v>712</v>
      </c>
      <c r="G113" s="56"/>
      <c r="H113" s="57"/>
      <c r="I113" s="51"/>
      <c r="J113" s="51">
        <f>466</f>
        <v>466</v>
      </c>
      <c r="K113" s="58">
        <v>2.6064814814814815E-2</v>
      </c>
      <c r="L113" s="59" t="s">
        <v>459</v>
      </c>
      <c r="M113" s="51"/>
      <c r="N113" s="51"/>
      <c r="O113" s="51"/>
      <c r="P113" s="51"/>
      <c r="Q113" s="37" t="str">
        <f t="shared" ca="1" si="0"/>
        <v/>
      </c>
      <c r="R113" s="52"/>
      <c r="S113" s="52"/>
      <c r="T113" s="52"/>
      <c r="U113" s="61"/>
      <c r="V113" s="62"/>
      <c r="W113" s="63"/>
      <c r="X113" s="64"/>
      <c r="Y113" s="18"/>
      <c r="Z113" s="18"/>
      <c r="AA113" s="18"/>
      <c r="AB113" s="18"/>
    </row>
    <row r="114" spans="1:28">
      <c r="A114" s="51">
        <v>113</v>
      </c>
      <c r="B114" s="52"/>
      <c r="C114" s="61"/>
      <c r="D114" s="51"/>
      <c r="E114" s="51" t="s">
        <v>718</v>
      </c>
      <c r="F114" s="55" t="s">
        <v>719</v>
      </c>
      <c r="G114" s="56"/>
      <c r="H114" s="57"/>
      <c r="I114" s="51"/>
      <c r="J114" s="51">
        <f>1*1000</f>
        <v>1000</v>
      </c>
      <c r="K114" s="58">
        <v>2.3506944444444445E-2</v>
      </c>
      <c r="L114" s="59" t="s">
        <v>459</v>
      </c>
      <c r="M114" s="51"/>
      <c r="N114" s="51"/>
      <c r="O114" s="51"/>
      <c r="P114" s="51"/>
      <c r="Q114" s="37" t="str">
        <f t="shared" ca="1" si="0"/>
        <v/>
      </c>
      <c r="R114" s="52"/>
      <c r="S114" s="52"/>
      <c r="T114" s="52"/>
      <c r="U114" s="61"/>
      <c r="V114" s="62"/>
      <c r="W114" s="63"/>
      <c r="X114" s="64"/>
      <c r="Y114" s="18"/>
      <c r="Z114" s="18"/>
      <c r="AA114" s="18"/>
      <c r="AB114" s="18"/>
    </row>
    <row r="115" spans="1:28">
      <c r="A115" s="51">
        <v>114</v>
      </c>
      <c r="B115" s="52"/>
      <c r="C115" s="61"/>
      <c r="D115" s="51"/>
      <c r="E115" s="51" t="s">
        <v>722</v>
      </c>
      <c r="F115" s="55" t="s">
        <v>723</v>
      </c>
      <c r="G115" s="56"/>
      <c r="H115" s="57"/>
      <c r="I115" s="51"/>
      <c r="J115" s="51">
        <f>1.4*1000</f>
        <v>1400</v>
      </c>
      <c r="K115" s="58">
        <v>1.1608796296296296E-2</v>
      </c>
      <c r="L115" s="59" t="s">
        <v>459</v>
      </c>
      <c r="M115" s="51"/>
      <c r="N115" s="51"/>
      <c r="O115" s="51"/>
      <c r="P115" s="51"/>
      <c r="Q115" s="37" t="str">
        <f t="shared" ca="1" si="0"/>
        <v/>
      </c>
      <c r="R115" s="52"/>
      <c r="S115" s="52"/>
      <c r="T115" s="52"/>
      <c r="U115" s="61"/>
      <c r="V115" s="62"/>
      <c r="W115" s="63"/>
      <c r="X115" s="64"/>
      <c r="Y115" s="18"/>
      <c r="Z115" s="18"/>
      <c r="AA115" s="18"/>
      <c r="AB115" s="18"/>
    </row>
    <row r="116" spans="1:28">
      <c r="A116" s="51">
        <v>115</v>
      </c>
      <c r="B116" s="52"/>
      <c r="C116" s="61"/>
      <c r="D116" s="51"/>
      <c r="E116" s="51" t="s">
        <v>731</v>
      </c>
      <c r="F116" s="55" t="s">
        <v>732</v>
      </c>
      <c r="G116" s="56"/>
      <c r="H116" s="57"/>
      <c r="I116" s="51"/>
      <c r="J116" s="51">
        <f>602</f>
        <v>602</v>
      </c>
      <c r="K116" s="58">
        <v>2.1805555555555554E-2</v>
      </c>
      <c r="L116" s="59" t="s">
        <v>459</v>
      </c>
      <c r="M116" s="51"/>
      <c r="N116" s="51"/>
      <c r="O116" s="51"/>
      <c r="P116" s="51"/>
      <c r="Q116" s="37" t="str">
        <f t="shared" ca="1" si="0"/>
        <v/>
      </c>
      <c r="R116" s="52"/>
      <c r="S116" s="52"/>
      <c r="T116" s="52"/>
      <c r="U116" s="61"/>
      <c r="V116" s="62"/>
      <c r="W116" s="63"/>
      <c r="X116" s="64"/>
      <c r="Y116" s="18"/>
      <c r="Z116" s="18"/>
      <c r="AA116" s="18"/>
      <c r="AB116" s="18"/>
    </row>
    <row r="117" spans="1:28">
      <c r="A117" s="51">
        <v>116</v>
      </c>
      <c r="B117" s="52"/>
      <c r="C117" s="61"/>
      <c r="D117" s="51"/>
      <c r="E117" s="51" t="s">
        <v>736</v>
      </c>
      <c r="F117" s="55" t="s">
        <v>737</v>
      </c>
      <c r="G117" s="56"/>
      <c r="H117" s="57"/>
      <c r="I117" s="51"/>
      <c r="J117" s="51">
        <f>317</f>
        <v>317</v>
      </c>
      <c r="K117" s="58">
        <v>2.9108796296296296E-2</v>
      </c>
      <c r="L117" s="59" t="s">
        <v>459</v>
      </c>
      <c r="M117" s="51"/>
      <c r="N117" s="51"/>
      <c r="O117" s="51"/>
      <c r="P117" s="51"/>
      <c r="Q117" s="37" t="str">
        <f t="shared" ca="1" si="0"/>
        <v/>
      </c>
      <c r="R117" s="52"/>
      <c r="S117" s="52"/>
      <c r="T117" s="52"/>
      <c r="U117" s="61"/>
      <c r="V117" s="62"/>
      <c r="W117" s="63"/>
      <c r="X117" s="64"/>
      <c r="Y117" s="18"/>
      <c r="Z117" s="18"/>
      <c r="AA117" s="18"/>
      <c r="AB117" s="18"/>
    </row>
    <row r="118" spans="1:28">
      <c r="A118" s="51">
        <v>117</v>
      </c>
      <c r="B118" s="52"/>
      <c r="C118" s="61"/>
      <c r="D118" s="51"/>
      <c r="E118" s="51" t="s">
        <v>739</v>
      </c>
      <c r="F118" s="55" t="s">
        <v>740</v>
      </c>
      <c r="G118" s="56"/>
      <c r="H118" s="57"/>
      <c r="I118" s="51"/>
      <c r="J118" s="51">
        <f>756</f>
        <v>756</v>
      </c>
      <c r="K118" s="58">
        <v>1.3333333333333334E-2</v>
      </c>
      <c r="L118" s="59" t="s">
        <v>459</v>
      </c>
      <c r="M118" s="51"/>
      <c r="N118" s="51"/>
      <c r="O118" s="51"/>
      <c r="P118" s="51"/>
      <c r="Q118" s="37" t="str">
        <f t="shared" ca="1" si="0"/>
        <v/>
      </c>
      <c r="R118" s="52"/>
      <c r="S118" s="52"/>
      <c r="T118" s="52"/>
      <c r="U118" s="61"/>
      <c r="V118" s="62"/>
      <c r="W118" s="63"/>
      <c r="X118" s="64"/>
      <c r="Y118" s="18"/>
      <c r="Z118" s="18"/>
      <c r="AA118" s="18"/>
      <c r="AB118" s="18"/>
    </row>
    <row r="119" spans="1:28">
      <c r="A119" s="51">
        <v>118</v>
      </c>
      <c r="B119" s="52"/>
      <c r="C119" s="61"/>
      <c r="D119" s="51"/>
      <c r="E119" s="51" t="s">
        <v>744</v>
      </c>
      <c r="F119" s="55" t="s">
        <v>745</v>
      </c>
      <c r="G119" s="56"/>
      <c r="H119" s="57"/>
      <c r="I119" s="51"/>
      <c r="J119" s="51">
        <f>493</f>
        <v>493</v>
      </c>
      <c r="K119" s="58">
        <v>1.2581018518518519E-2</v>
      </c>
      <c r="L119" s="59" t="s">
        <v>459</v>
      </c>
      <c r="M119" s="51"/>
      <c r="N119" s="51"/>
      <c r="O119" s="51"/>
      <c r="P119" s="51"/>
      <c r="Q119" s="37" t="str">
        <f t="shared" ca="1" si="0"/>
        <v/>
      </c>
      <c r="R119" s="52"/>
      <c r="S119" s="52"/>
      <c r="T119" s="52"/>
      <c r="U119" s="61"/>
      <c r="V119" s="62"/>
      <c r="W119" s="63"/>
      <c r="X119" s="64"/>
      <c r="Y119" s="18"/>
      <c r="Z119" s="18"/>
      <c r="AA119" s="18"/>
      <c r="AB119" s="18"/>
    </row>
    <row r="120" spans="1:28">
      <c r="A120" s="51">
        <v>119</v>
      </c>
      <c r="B120" s="52"/>
      <c r="C120" s="61"/>
      <c r="D120" s="51"/>
      <c r="E120" s="51" t="s">
        <v>748</v>
      </c>
      <c r="F120" s="55" t="s">
        <v>749</v>
      </c>
      <c r="G120" s="56"/>
      <c r="H120" s="57"/>
      <c r="I120" s="51"/>
      <c r="J120" s="51">
        <f>1*1000</f>
        <v>1000</v>
      </c>
      <c r="K120" s="58">
        <v>3.6481481481481483E-2</v>
      </c>
      <c r="L120" s="59" t="s">
        <v>459</v>
      </c>
      <c r="M120" s="51"/>
      <c r="N120" s="51"/>
      <c r="O120" s="51"/>
      <c r="P120" s="51"/>
      <c r="Q120" s="37" t="str">
        <f t="shared" ca="1" si="0"/>
        <v/>
      </c>
      <c r="R120" s="52"/>
      <c r="S120" s="52"/>
      <c r="T120" s="52"/>
      <c r="U120" s="61"/>
      <c r="V120" s="62"/>
      <c r="W120" s="63"/>
      <c r="X120" s="64"/>
      <c r="Y120" s="18"/>
      <c r="Z120" s="18"/>
      <c r="AA120" s="18"/>
      <c r="AB120" s="18"/>
    </row>
    <row r="121" spans="1:28">
      <c r="A121" s="51">
        <v>120</v>
      </c>
      <c r="B121" s="52"/>
      <c r="C121" s="61"/>
      <c r="D121" s="51"/>
      <c r="E121" s="51" t="s">
        <v>751</v>
      </c>
      <c r="F121" s="55" t="s">
        <v>752</v>
      </c>
      <c r="G121" s="56"/>
      <c r="H121" s="57"/>
      <c r="I121" s="51"/>
      <c r="J121" s="51">
        <f>619</f>
        <v>619</v>
      </c>
      <c r="K121" s="58">
        <v>3.5949074074074071E-2</v>
      </c>
      <c r="L121" s="59" t="s">
        <v>459</v>
      </c>
      <c r="M121" s="51"/>
      <c r="N121" s="51"/>
      <c r="O121" s="51"/>
      <c r="P121" s="51"/>
      <c r="Q121" s="37" t="str">
        <f t="shared" ca="1" si="0"/>
        <v/>
      </c>
      <c r="R121" s="52"/>
      <c r="S121" s="52"/>
      <c r="T121" s="52"/>
      <c r="U121" s="61"/>
      <c r="V121" s="62"/>
      <c r="W121" s="63"/>
      <c r="X121" s="64"/>
      <c r="Y121" s="18"/>
      <c r="Z121" s="18"/>
      <c r="AA121" s="18"/>
      <c r="AB121" s="18"/>
    </row>
    <row r="122" spans="1:28">
      <c r="A122" s="51">
        <v>121</v>
      </c>
      <c r="B122" s="52"/>
      <c r="C122" s="61"/>
      <c r="D122" s="51"/>
      <c r="E122" s="51" t="s">
        <v>755</v>
      </c>
      <c r="F122" s="55" t="s">
        <v>756</v>
      </c>
      <c r="G122" s="56"/>
      <c r="H122" s="57"/>
      <c r="I122" s="51"/>
      <c r="J122" s="51">
        <f>658</f>
        <v>658</v>
      </c>
      <c r="K122" s="58">
        <v>3.7592592592592594E-2</v>
      </c>
      <c r="L122" s="59" t="s">
        <v>459</v>
      </c>
      <c r="M122" s="51"/>
      <c r="N122" s="51"/>
      <c r="O122" s="51"/>
      <c r="P122" s="51"/>
      <c r="Q122" s="37" t="str">
        <f t="shared" ca="1" si="0"/>
        <v/>
      </c>
      <c r="R122" s="52"/>
      <c r="S122" s="52"/>
      <c r="T122" s="52"/>
      <c r="U122" s="61"/>
      <c r="V122" s="62"/>
      <c r="W122" s="63"/>
      <c r="X122" s="64"/>
      <c r="Y122" s="18"/>
      <c r="Z122" s="18"/>
      <c r="AA122" s="18"/>
      <c r="AB122" s="18"/>
    </row>
    <row r="123" spans="1:28">
      <c r="A123" s="51">
        <v>122</v>
      </c>
      <c r="B123" s="52"/>
      <c r="C123" s="61"/>
      <c r="D123" s="51"/>
      <c r="E123" s="51" t="s">
        <v>762</v>
      </c>
      <c r="F123" s="55" t="s">
        <v>763</v>
      </c>
      <c r="G123" s="56"/>
      <c r="H123" s="57"/>
      <c r="I123" s="51"/>
      <c r="J123" s="51">
        <f>1.5*1000</f>
        <v>1500</v>
      </c>
      <c r="K123" s="58">
        <v>4.7395833333333331E-2</v>
      </c>
      <c r="L123" s="59" t="s">
        <v>459</v>
      </c>
      <c r="M123" s="51"/>
      <c r="N123" s="51"/>
      <c r="O123" s="51"/>
      <c r="P123" s="51"/>
      <c r="Q123" s="37" t="str">
        <f t="shared" ca="1" si="0"/>
        <v/>
      </c>
      <c r="R123" s="52"/>
      <c r="S123" s="52"/>
      <c r="T123" s="52"/>
      <c r="U123" s="61"/>
      <c r="V123" s="62"/>
      <c r="W123" s="63"/>
      <c r="X123" s="64"/>
      <c r="Y123" s="18"/>
      <c r="Z123" s="18"/>
      <c r="AA123" s="18"/>
      <c r="AB123" s="18"/>
    </row>
    <row r="124" spans="1:28">
      <c r="A124" s="51">
        <v>123</v>
      </c>
      <c r="B124" s="52"/>
      <c r="C124" s="61"/>
      <c r="D124" s="51"/>
      <c r="E124" s="51" t="s">
        <v>766</v>
      </c>
      <c r="F124" s="55" t="s">
        <v>767</v>
      </c>
      <c r="G124" s="56"/>
      <c r="H124" s="57"/>
      <c r="I124" s="51"/>
      <c r="J124" s="51">
        <f>2.1*1000</f>
        <v>2100</v>
      </c>
      <c r="K124" s="58">
        <v>4.7511574074074074E-2</v>
      </c>
      <c r="L124" s="59" t="s">
        <v>459</v>
      </c>
      <c r="M124" s="51"/>
      <c r="N124" s="51"/>
      <c r="O124" s="51"/>
      <c r="P124" s="51"/>
      <c r="Q124" s="37" t="str">
        <f t="shared" ca="1" si="0"/>
        <v/>
      </c>
      <c r="R124" s="52"/>
      <c r="S124" s="52"/>
      <c r="T124" s="52"/>
      <c r="U124" s="61"/>
      <c r="V124" s="62"/>
      <c r="W124" s="63"/>
      <c r="X124" s="64"/>
      <c r="Y124" s="18"/>
      <c r="Z124" s="18"/>
      <c r="AA124" s="18"/>
      <c r="AB124" s="18"/>
    </row>
    <row r="125" spans="1:28">
      <c r="A125" s="51">
        <v>124</v>
      </c>
      <c r="B125" s="52"/>
      <c r="C125" s="61"/>
      <c r="D125" s="51"/>
      <c r="E125" s="51" t="s">
        <v>768</v>
      </c>
      <c r="F125" s="55" t="s">
        <v>769</v>
      </c>
      <c r="G125" s="56"/>
      <c r="H125" s="57"/>
      <c r="I125" s="51"/>
      <c r="J125" s="51">
        <f>1.1*1000</f>
        <v>1100</v>
      </c>
      <c r="K125" s="58">
        <v>1.5659722222222224E-2</v>
      </c>
      <c r="L125" s="59" t="s">
        <v>459</v>
      </c>
      <c r="M125" s="51"/>
      <c r="N125" s="51"/>
      <c r="O125" s="51"/>
      <c r="P125" s="51"/>
      <c r="Q125" s="37" t="str">
        <f t="shared" ca="1" si="0"/>
        <v/>
      </c>
      <c r="R125" s="52"/>
      <c r="S125" s="52"/>
      <c r="T125" s="52"/>
      <c r="U125" s="61"/>
      <c r="V125" s="62"/>
      <c r="W125" s="63"/>
      <c r="X125" s="64"/>
      <c r="Y125" s="18"/>
      <c r="Z125" s="18"/>
      <c r="AA125" s="18"/>
      <c r="AB125" s="18"/>
    </row>
    <row r="126" spans="1:28">
      <c r="A126" s="51">
        <v>125</v>
      </c>
      <c r="B126" s="52"/>
      <c r="C126" s="61"/>
      <c r="D126" s="51"/>
      <c r="E126" s="51" t="s">
        <v>772</v>
      </c>
      <c r="F126" s="55" t="s">
        <v>773</v>
      </c>
      <c r="G126" s="56"/>
      <c r="H126" s="57"/>
      <c r="I126" s="51"/>
      <c r="J126" s="51">
        <f>2.3*1000</f>
        <v>2300</v>
      </c>
      <c r="K126" s="58">
        <v>5.4293981481481485E-2</v>
      </c>
      <c r="L126" s="59" t="s">
        <v>459</v>
      </c>
      <c r="M126" s="51"/>
      <c r="N126" s="51"/>
      <c r="O126" s="51"/>
      <c r="P126" s="51"/>
      <c r="Q126" s="37" t="str">
        <f t="shared" ca="1" si="0"/>
        <v/>
      </c>
      <c r="R126" s="52"/>
      <c r="S126" s="52"/>
      <c r="T126" s="52"/>
      <c r="U126" s="61"/>
      <c r="V126" s="62"/>
      <c r="W126" s="63"/>
      <c r="X126" s="64"/>
      <c r="Y126" s="18"/>
      <c r="Z126" s="18"/>
      <c r="AA126" s="18"/>
      <c r="AB126" s="18"/>
    </row>
    <row r="127" spans="1:28">
      <c r="A127" s="51">
        <v>126</v>
      </c>
      <c r="B127" s="52"/>
      <c r="C127" s="61"/>
      <c r="D127" s="51"/>
      <c r="E127" s="51" t="s">
        <v>775</v>
      </c>
      <c r="F127" s="55" t="s">
        <v>776</v>
      </c>
      <c r="G127" s="56"/>
      <c r="H127" s="57"/>
      <c r="I127" s="51"/>
      <c r="J127" s="51">
        <f>2.1*1000</f>
        <v>2100</v>
      </c>
      <c r="K127" s="58">
        <v>2.6249999999999999E-2</v>
      </c>
      <c r="L127" s="59" t="s">
        <v>459</v>
      </c>
      <c r="M127" s="51"/>
      <c r="N127" s="51"/>
      <c r="O127" s="51"/>
      <c r="P127" s="51"/>
      <c r="Q127" s="37" t="str">
        <f t="shared" ca="1" si="0"/>
        <v/>
      </c>
      <c r="R127" s="52"/>
      <c r="S127" s="52"/>
      <c r="T127" s="52"/>
      <c r="U127" s="61"/>
      <c r="V127" s="62"/>
      <c r="W127" s="63"/>
      <c r="X127" s="64"/>
      <c r="Y127" s="18"/>
      <c r="Z127" s="18"/>
      <c r="AA127" s="18"/>
      <c r="AB127" s="18"/>
    </row>
    <row r="128" spans="1:28">
      <c r="A128" s="51">
        <v>127</v>
      </c>
      <c r="B128" s="52"/>
      <c r="C128" s="61"/>
      <c r="D128" s="51"/>
      <c r="E128" s="51" t="s">
        <v>779</v>
      </c>
      <c r="F128" s="55" t="s">
        <v>780</v>
      </c>
      <c r="G128" s="56"/>
      <c r="H128" s="57"/>
      <c r="I128" s="51"/>
      <c r="J128" s="51">
        <f>2.4*1000</f>
        <v>2400</v>
      </c>
      <c r="K128" s="58">
        <v>2.8645833333333332E-2</v>
      </c>
      <c r="L128" s="59" t="s">
        <v>459</v>
      </c>
      <c r="M128" s="51"/>
      <c r="N128" s="51"/>
      <c r="O128" s="51"/>
      <c r="P128" s="51"/>
      <c r="Q128" s="37" t="str">
        <f t="shared" ca="1" si="0"/>
        <v/>
      </c>
      <c r="R128" s="52"/>
      <c r="S128" s="52"/>
      <c r="T128" s="52"/>
      <c r="U128" s="61"/>
      <c r="V128" s="62"/>
      <c r="W128" s="63"/>
      <c r="X128" s="64"/>
      <c r="Y128" s="18"/>
      <c r="Z128" s="18"/>
      <c r="AA128" s="18"/>
      <c r="AB128" s="18"/>
    </row>
    <row r="129" spans="1:28">
      <c r="A129" s="51">
        <v>128</v>
      </c>
      <c r="B129" s="52"/>
      <c r="C129" s="61"/>
      <c r="D129" s="51"/>
      <c r="E129" s="51" t="s">
        <v>781</v>
      </c>
      <c r="F129" s="55" t="s">
        <v>782</v>
      </c>
      <c r="G129" s="56"/>
      <c r="H129" s="57"/>
      <c r="I129" s="51"/>
      <c r="J129" s="51">
        <f>1.4*1000</f>
        <v>1400</v>
      </c>
      <c r="K129" s="58">
        <v>3.318287037037037E-2</v>
      </c>
      <c r="L129" s="59" t="s">
        <v>459</v>
      </c>
      <c r="M129" s="51"/>
      <c r="N129" s="51"/>
      <c r="O129" s="51"/>
      <c r="P129" s="51"/>
      <c r="Q129" s="37" t="str">
        <f t="shared" ca="1" si="0"/>
        <v/>
      </c>
      <c r="R129" s="52"/>
      <c r="S129" s="52"/>
      <c r="T129" s="52"/>
      <c r="U129" s="61"/>
      <c r="V129" s="62"/>
      <c r="W129" s="63"/>
      <c r="X129" s="64"/>
      <c r="Y129" s="18"/>
      <c r="Z129" s="18"/>
      <c r="AA129" s="18"/>
      <c r="AB129" s="18"/>
    </row>
    <row r="130" spans="1:28">
      <c r="A130" s="51">
        <v>129</v>
      </c>
      <c r="B130" s="52"/>
      <c r="C130" s="61"/>
      <c r="D130" s="51"/>
      <c r="E130" s="51" t="s">
        <v>783</v>
      </c>
      <c r="F130" s="55" t="s">
        <v>784</v>
      </c>
      <c r="G130" s="56"/>
      <c r="H130" s="57"/>
      <c r="I130" s="51"/>
      <c r="J130" s="51">
        <f>19*1000</f>
        <v>19000</v>
      </c>
      <c r="K130" s="58">
        <v>1.1620370370370371E-2</v>
      </c>
      <c r="L130" s="59" t="s">
        <v>459</v>
      </c>
      <c r="M130" s="51"/>
      <c r="N130" s="51"/>
      <c r="O130" s="51"/>
      <c r="P130" s="51"/>
      <c r="Q130" s="37" t="str">
        <f t="shared" ca="1" si="0"/>
        <v/>
      </c>
      <c r="R130" s="52"/>
      <c r="S130" s="52"/>
      <c r="T130" s="52"/>
      <c r="U130" s="61"/>
      <c r="V130" s="62"/>
      <c r="W130" s="63"/>
      <c r="X130" s="64"/>
      <c r="Y130" s="18"/>
      <c r="Z130" s="18"/>
      <c r="AA130" s="18"/>
      <c r="AB130" s="18"/>
    </row>
    <row r="131" spans="1:28">
      <c r="A131" s="51">
        <v>130</v>
      </c>
      <c r="B131" s="52"/>
      <c r="C131" s="61"/>
      <c r="D131" s="51"/>
      <c r="E131" s="51" t="s">
        <v>787</v>
      </c>
      <c r="F131" s="55" t="s">
        <v>788</v>
      </c>
      <c r="G131" s="56"/>
      <c r="H131" s="57"/>
      <c r="I131" s="51"/>
      <c r="J131" s="51">
        <f>651</f>
        <v>651</v>
      </c>
      <c r="K131" s="58">
        <v>3.9814814814814817E-3</v>
      </c>
      <c r="L131" s="59" t="s">
        <v>459</v>
      </c>
      <c r="M131" s="51"/>
      <c r="N131" s="51"/>
      <c r="O131" s="51"/>
      <c r="P131" s="51"/>
      <c r="Q131" s="37" t="str">
        <f t="shared" ca="1" si="0"/>
        <v/>
      </c>
      <c r="R131" s="52"/>
      <c r="S131" s="52"/>
      <c r="T131" s="52"/>
      <c r="U131" s="61"/>
      <c r="V131" s="62"/>
      <c r="W131" s="63"/>
      <c r="X131" s="64"/>
      <c r="Y131" s="18"/>
      <c r="Z131" s="18"/>
      <c r="AA131" s="18"/>
      <c r="AB131" s="18"/>
    </row>
    <row r="132" spans="1:28">
      <c r="A132" s="51">
        <v>131</v>
      </c>
      <c r="B132" s="52"/>
      <c r="C132" s="61"/>
      <c r="D132" s="51"/>
      <c r="E132" s="51" t="s">
        <v>789</v>
      </c>
      <c r="F132" s="55" t="s">
        <v>790</v>
      </c>
      <c r="G132" s="56"/>
      <c r="H132" s="57"/>
      <c r="I132" s="51"/>
      <c r="J132" s="51">
        <f>667</f>
        <v>667</v>
      </c>
      <c r="K132" s="58">
        <v>3.0092592592592588E-3</v>
      </c>
      <c r="L132" s="59" t="s">
        <v>459</v>
      </c>
      <c r="M132" s="51"/>
      <c r="N132" s="51"/>
      <c r="O132" s="51"/>
      <c r="P132" s="51"/>
      <c r="Q132" s="37" t="str">
        <f t="shared" ca="1" si="0"/>
        <v/>
      </c>
      <c r="R132" s="52"/>
      <c r="S132" s="52"/>
      <c r="T132" s="52"/>
      <c r="U132" s="61"/>
      <c r="V132" s="62"/>
      <c r="W132" s="63"/>
      <c r="X132" s="64"/>
      <c r="Y132" s="18"/>
      <c r="Z132" s="18"/>
      <c r="AA132" s="18"/>
      <c r="AB132" s="18"/>
    </row>
    <row r="133" spans="1:28">
      <c r="A133" s="51">
        <v>132</v>
      </c>
      <c r="B133" s="52"/>
      <c r="C133" s="61"/>
      <c r="D133" s="51"/>
      <c r="E133" s="51" t="s">
        <v>791</v>
      </c>
      <c r="F133" s="55" t="s">
        <v>792</v>
      </c>
      <c r="G133" s="56"/>
      <c r="H133" s="57"/>
      <c r="I133" s="51"/>
      <c r="J133" s="51">
        <f>446</f>
        <v>446</v>
      </c>
      <c r="K133" s="58">
        <v>1.6087962962962963E-3</v>
      </c>
      <c r="L133" s="59" t="s">
        <v>459</v>
      </c>
      <c r="M133" s="51"/>
      <c r="N133" s="51"/>
      <c r="O133" s="51"/>
      <c r="P133" s="51"/>
      <c r="Q133" s="37" t="str">
        <f t="shared" ca="1" si="0"/>
        <v/>
      </c>
      <c r="R133" s="52"/>
      <c r="S133" s="52"/>
      <c r="T133" s="52"/>
      <c r="U133" s="61"/>
      <c r="V133" s="62"/>
      <c r="W133" s="63"/>
      <c r="X133" s="64"/>
      <c r="Y133" s="18"/>
      <c r="Z133" s="18"/>
      <c r="AA133" s="18"/>
      <c r="AB133" s="18"/>
    </row>
    <row r="134" spans="1:28">
      <c r="A134" s="51">
        <v>133</v>
      </c>
      <c r="B134" s="52"/>
      <c r="C134" s="61"/>
      <c r="D134" s="51"/>
      <c r="E134" s="51" t="s">
        <v>795</v>
      </c>
      <c r="F134" s="55" t="s">
        <v>796</v>
      </c>
      <c r="G134" s="56"/>
      <c r="H134" s="57"/>
      <c r="I134" s="51"/>
      <c r="J134" s="51">
        <f>1.5*1000</f>
        <v>1500</v>
      </c>
      <c r="K134" s="58">
        <v>2.0995370370370373E-2</v>
      </c>
      <c r="L134" s="59" t="s">
        <v>459</v>
      </c>
      <c r="M134" s="51"/>
      <c r="N134" s="51"/>
      <c r="O134" s="51"/>
      <c r="P134" s="51"/>
      <c r="Q134" s="37" t="str">
        <f t="shared" ca="1" si="0"/>
        <v/>
      </c>
      <c r="R134" s="52"/>
      <c r="S134" s="52"/>
      <c r="T134" s="52"/>
      <c r="U134" s="61"/>
      <c r="V134" s="62"/>
      <c r="W134" s="63"/>
      <c r="X134" s="64"/>
      <c r="Y134" s="18"/>
      <c r="Z134" s="18"/>
      <c r="AA134" s="18"/>
      <c r="AB134" s="18"/>
    </row>
    <row r="135" spans="1:28">
      <c r="A135" s="51">
        <v>134</v>
      </c>
      <c r="B135" s="52"/>
      <c r="C135" s="61"/>
      <c r="D135" s="51"/>
      <c r="E135" s="51" t="s">
        <v>798</v>
      </c>
      <c r="F135" s="55" t="s">
        <v>799</v>
      </c>
      <c r="G135" s="56"/>
      <c r="H135" s="57"/>
      <c r="I135" s="51"/>
      <c r="J135" s="51">
        <f>919</f>
        <v>919</v>
      </c>
      <c r="K135" s="58">
        <v>3.9479166666666669E-2</v>
      </c>
      <c r="L135" s="59" t="s">
        <v>459</v>
      </c>
      <c r="M135" s="51"/>
      <c r="N135" s="51"/>
      <c r="O135" s="51"/>
      <c r="P135" s="51"/>
      <c r="Q135" s="37" t="str">
        <f t="shared" ca="1" si="0"/>
        <v/>
      </c>
      <c r="R135" s="52"/>
      <c r="S135" s="52"/>
      <c r="T135" s="52"/>
      <c r="U135" s="61"/>
      <c r="V135" s="62"/>
      <c r="W135" s="63"/>
      <c r="X135" s="64"/>
      <c r="Y135" s="18"/>
      <c r="Z135" s="18"/>
      <c r="AA135" s="18"/>
      <c r="AB135" s="18"/>
    </row>
    <row r="136" spans="1:28">
      <c r="A136" s="51">
        <v>135</v>
      </c>
      <c r="B136" s="52"/>
      <c r="C136" s="61"/>
      <c r="D136" s="51"/>
      <c r="E136" s="51" t="s">
        <v>802</v>
      </c>
      <c r="F136" s="55" t="s">
        <v>803</v>
      </c>
      <c r="G136" s="56"/>
      <c r="H136" s="57"/>
      <c r="I136" s="51"/>
      <c r="J136" s="51">
        <f>1*1000</f>
        <v>1000</v>
      </c>
      <c r="K136" s="58">
        <v>1.2499999999999999E-2</v>
      </c>
      <c r="L136" s="59" t="s">
        <v>459</v>
      </c>
      <c r="M136" s="51"/>
      <c r="N136" s="51"/>
      <c r="O136" s="51"/>
      <c r="P136" s="51"/>
      <c r="Q136" s="37" t="str">
        <f t="shared" ca="1" si="0"/>
        <v/>
      </c>
      <c r="R136" s="52"/>
      <c r="S136" s="52"/>
      <c r="T136" s="52"/>
      <c r="U136" s="61"/>
      <c r="V136" s="62"/>
      <c r="W136" s="63"/>
      <c r="X136" s="64"/>
      <c r="Y136" s="18"/>
      <c r="Z136" s="18"/>
      <c r="AA136" s="18"/>
      <c r="AB136" s="18"/>
    </row>
    <row r="137" spans="1:28">
      <c r="A137" s="51">
        <v>136</v>
      </c>
      <c r="B137" s="52"/>
      <c r="C137" s="61"/>
      <c r="D137" s="51"/>
      <c r="E137" s="51" t="s">
        <v>804</v>
      </c>
      <c r="F137" s="55" t="s">
        <v>805</v>
      </c>
      <c r="G137" s="56"/>
      <c r="H137" s="57"/>
      <c r="I137" s="51"/>
      <c r="J137" s="51">
        <f>246</f>
        <v>246</v>
      </c>
      <c r="K137" s="58">
        <v>1.8055555555555557E-3</v>
      </c>
      <c r="L137" s="59" t="s">
        <v>459</v>
      </c>
      <c r="M137" s="51"/>
      <c r="N137" s="51"/>
      <c r="O137" s="51"/>
      <c r="P137" s="51"/>
      <c r="Q137" s="37" t="str">
        <f t="shared" ca="1" si="0"/>
        <v/>
      </c>
      <c r="R137" s="52"/>
      <c r="S137" s="52"/>
      <c r="T137" s="52"/>
      <c r="U137" s="61"/>
      <c r="V137" s="62"/>
      <c r="W137" s="63"/>
      <c r="X137" s="64"/>
      <c r="Y137" s="18"/>
      <c r="Z137" s="18"/>
      <c r="AA137" s="18"/>
      <c r="AB137" s="18"/>
    </row>
    <row r="138" spans="1:28">
      <c r="A138" s="51">
        <v>137</v>
      </c>
      <c r="B138" s="52"/>
      <c r="C138" s="61"/>
      <c r="D138" s="51"/>
      <c r="E138" s="51" t="s">
        <v>806</v>
      </c>
      <c r="F138" s="55" t="s">
        <v>807</v>
      </c>
      <c r="G138" s="56"/>
      <c r="H138" s="57"/>
      <c r="I138" s="51"/>
      <c r="J138" s="51">
        <f>10*1000</f>
        <v>10000</v>
      </c>
      <c r="K138" s="58">
        <v>3.1759259259259258E-2</v>
      </c>
      <c r="L138" s="59" t="s">
        <v>459</v>
      </c>
      <c r="M138" s="51"/>
      <c r="N138" s="51"/>
      <c r="O138" s="51"/>
      <c r="P138" s="51"/>
      <c r="Q138" s="37" t="str">
        <f t="shared" ca="1" si="0"/>
        <v/>
      </c>
      <c r="R138" s="52"/>
      <c r="S138" s="52"/>
      <c r="T138" s="52"/>
      <c r="U138" s="61"/>
      <c r="V138" s="62"/>
      <c r="W138" s="63"/>
      <c r="X138" s="64"/>
      <c r="Y138" s="18"/>
      <c r="Z138" s="18"/>
      <c r="AA138" s="18"/>
      <c r="AB138" s="18"/>
    </row>
    <row r="139" spans="1:28">
      <c r="A139" s="51">
        <v>138</v>
      </c>
      <c r="B139" s="52"/>
      <c r="C139" s="61"/>
      <c r="D139" s="51"/>
      <c r="E139" s="51" t="s">
        <v>809</v>
      </c>
      <c r="F139" s="55" t="s">
        <v>810</v>
      </c>
      <c r="G139" s="56"/>
      <c r="H139" s="57"/>
      <c r="I139" s="51"/>
      <c r="J139" s="51">
        <f>955</f>
        <v>955</v>
      </c>
      <c r="K139" s="58">
        <v>5.5208333333333333E-3</v>
      </c>
      <c r="L139" s="59" t="s">
        <v>459</v>
      </c>
      <c r="M139" s="51"/>
      <c r="N139" s="51"/>
      <c r="O139" s="51"/>
      <c r="P139" s="51"/>
      <c r="Q139" s="37" t="str">
        <f t="shared" ca="1" si="0"/>
        <v/>
      </c>
      <c r="R139" s="52"/>
      <c r="S139" s="52"/>
      <c r="T139" s="52"/>
      <c r="U139" s="61"/>
      <c r="V139" s="62"/>
      <c r="W139" s="63"/>
      <c r="X139" s="64"/>
      <c r="Y139" s="18"/>
      <c r="Z139" s="18"/>
      <c r="AA139" s="18"/>
      <c r="AB139" s="18"/>
    </row>
    <row r="140" spans="1:28">
      <c r="A140" s="51">
        <v>139</v>
      </c>
      <c r="B140" s="52"/>
      <c r="C140" s="61"/>
      <c r="D140" s="51"/>
      <c r="E140" s="51" t="s">
        <v>812</v>
      </c>
      <c r="F140" s="55" t="s">
        <v>813</v>
      </c>
      <c r="G140" s="56"/>
      <c r="H140" s="57"/>
      <c r="I140" s="51"/>
      <c r="J140" s="51">
        <f>5.6*1000</f>
        <v>5600</v>
      </c>
      <c r="K140" s="58">
        <v>3.7083333333333336E-2</v>
      </c>
      <c r="L140" s="59" t="s">
        <v>459</v>
      </c>
      <c r="M140" s="51"/>
      <c r="N140" s="51"/>
      <c r="O140" s="51"/>
      <c r="P140" s="51"/>
      <c r="Q140" s="37" t="str">
        <f t="shared" ca="1" si="0"/>
        <v/>
      </c>
      <c r="R140" s="52"/>
      <c r="S140" s="52"/>
      <c r="T140" s="52"/>
      <c r="U140" s="61"/>
      <c r="V140" s="62"/>
      <c r="W140" s="63"/>
      <c r="X140" s="64"/>
      <c r="Y140" s="18"/>
      <c r="Z140" s="18"/>
      <c r="AA140" s="18"/>
      <c r="AB140" s="18"/>
    </row>
    <row r="141" spans="1:28">
      <c r="A141" s="51">
        <v>140</v>
      </c>
      <c r="B141" s="52"/>
      <c r="C141" s="61"/>
      <c r="D141" s="51"/>
      <c r="E141" s="51" t="s">
        <v>814</v>
      </c>
      <c r="F141" s="55" t="s">
        <v>815</v>
      </c>
      <c r="G141" s="56"/>
      <c r="H141" s="57"/>
      <c r="I141" s="51"/>
      <c r="J141" s="51">
        <f>1*1000</f>
        <v>1000</v>
      </c>
      <c r="K141" s="58">
        <v>3.3622685185185179E-2</v>
      </c>
      <c r="L141" s="59" t="s">
        <v>459</v>
      </c>
      <c r="M141" s="51"/>
      <c r="N141" s="51"/>
      <c r="O141" s="51"/>
      <c r="P141" s="51"/>
      <c r="Q141" s="37" t="str">
        <f t="shared" ca="1" si="0"/>
        <v/>
      </c>
      <c r="R141" s="52"/>
      <c r="S141" s="52"/>
      <c r="T141" s="52"/>
      <c r="U141" s="61"/>
      <c r="V141" s="62"/>
      <c r="W141" s="63"/>
      <c r="X141" s="64"/>
      <c r="Y141" s="18"/>
      <c r="Z141" s="18"/>
      <c r="AA141" s="18"/>
      <c r="AB141" s="18"/>
    </row>
    <row r="142" spans="1:28">
      <c r="A142" s="51">
        <v>141</v>
      </c>
      <c r="B142" s="52"/>
      <c r="C142" s="61"/>
      <c r="D142" s="51"/>
      <c r="E142" s="51" t="s">
        <v>817</v>
      </c>
      <c r="F142" s="55" t="s">
        <v>818</v>
      </c>
      <c r="G142" s="56"/>
      <c r="H142" s="57"/>
      <c r="I142" s="51"/>
      <c r="J142" s="51">
        <f>758</f>
        <v>758</v>
      </c>
      <c r="K142" s="58">
        <v>2.9050925925925928E-2</v>
      </c>
      <c r="L142" s="59" t="s">
        <v>459</v>
      </c>
      <c r="M142" s="51"/>
      <c r="N142" s="51"/>
      <c r="O142" s="51"/>
      <c r="P142" s="51"/>
      <c r="Q142" s="37" t="str">
        <f t="shared" ca="1" si="0"/>
        <v/>
      </c>
      <c r="R142" s="52"/>
      <c r="S142" s="52"/>
      <c r="T142" s="52"/>
      <c r="U142" s="61"/>
      <c r="V142" s="62"/>
      <c r="W142" s="63"/>
      <c r="X142" s="64"/>
      <c r="Y142" s="18"/>
      <c r="Z142" s="18"/>
      <c r="AA142" s="18"/>
      <c r="AB142" s="18"/>
    </row>
    <row r="143" spans="1:28">
      <c r="A143" s="51">
        <v>142</v>
      </c>
      <c r="B143" s="52"/>
      <c r="C143" s="61"/>
      <c r="D143" s="51"/>
      <c r="E143" s="51" t="s">
        <v>820</v>
      </c>
      <c r="F143" s="55" t="s">
        <v>821</v>
      </c>
      <c r="G143" s="56"/>
      <c r="H143" s="57"/>
      <c r="I143" s="51"/>
      <c r="J143" s="51">
        <f>483</f>
        <v>483</v>
      </c>
      <c r="K143" s="58">
        <v>2.1400462962962965E-2</v>
      </c>
      <c r="L143" s="59" t="s">
        <v>459</v>
      </c>
      <c r="M143" s="51"/>
      <c r="N143" s="51"/>
      <c r="O143" s="51"/>
      <c r="P143" s="51"/>
      <c r="Q143" s="37" t="str">
        <f t="shared" ca="1" si="0"/>
        <v/>
      </c>
      <c r="R143" s="52"/>
      <c r="S143" s="52"/>
      <c r="T143" s="52"/>
      <c r="U143" s="61"/>
      <c r="V143" s="62"/>
      <c r="W143" s="63"/>
      <c r="X143" s="64"/>
      <c r="Y143" s="18"/>
      <c r="Z143" s="18"/>
      <c r="AA143" s="18"/>
      <c r="AB143" s="18"/>
    </row>
    <row r="144" spans="1:28">
      <c r="A144" s="51">
        <v>143</v>
      </c>
      <c r="B144" s="52"/>
      <c r="C144" s="61"/>
      <c r="D144" s="51"/>
      <c r="E144" s="51" t="s">
        <v>823</v>
      </c>
      <c r="F144" s="55" t="s">
        <v>824</v>
      </c>
      <c r="G144" s="56"/>
      <c r="H144" s="57"/>
      <c r="I144" s="51"/>
      <c r="J144" s="51">
        <f>435</f>
        <v>435</v>
      </c>
      <c r="K144" s="58">
        <v>1.4490740740740742E-2</v>
      </c>
      <c r="L144" s="59" t="s">
        <v>459</v>
      </c>
      <c r="M144" s="51"/>
      <c r="N144" s="51"/>
      <c r="O144" s="51"/>
      <c r="P144" s="51"/>
      <c r="Q144" s="37" t="str">
        <f t="shared" ca="1" si="0"/>
        <v/>
      </c>
      <c r="R144" s="52"/>
      <c r="S144" s="52"/>
      <c r="T144" s="52"/>
      <c r="U144" s="61"/>
      <c r="V144" s="62"/>
      <c r="W144" s="63"/>
      <c r="X144" s="64"/>
      <c r="Y144" s="18"/>
      <c r="Z144" s="18"/>
      <c r="AA144" s="18"/>
      <c r="AB144" s="18"/>
    </row>
    <row r="145" spans="1:28">
      <c r="A145" s="51">
        <v>144</v>
      </c>
      <c r="B145" s="52"/>
      <c r="C145" s="61"/>
      <c r="D145" s="51"/>
      <c r="E145" s="51" t="s">
        <v>825</v>
      </c>
      <c r="F145" s="55" t="s">
        <v>826</v>
      </c>
      <c r="G145" s="56"/>
      <c r="H145" s="57"/>
      <c r="I145" s="51"/>
      <c r="J145" s="51">
        <f>409</f>
        <v>409</v>
      </c>
      <c r="K145" s="58">
        <v>1.105324074074074E-2</v>
      </c>
      <c r="L145" s="59" t="s">
        <v>459</v>
      </c>
      <c r="M145" s="51"/>
      <c r="N145" s="51"/>
      <c r="O145" s="51"/>
      <c r="P145" s="51"/>
      <c r="Q145" s="37" t="str">
        <f t="shared" ca="1" si="0"/>
        <v/>
      </c>
      <c r="R145" s="52"/>
      <c r="S145" s="52"/>
      <c r="T145" s="52"/>
      <c r="U145" s="61"/>
      <c r="V145" s="62"/>
      <c r="W145" s="63"/>
      <c r="X145" s="64"/>
      <c r="Y145" s="18"/>
      <c r="Z145" s="18"/>
      <c r="AA145" s="18"/>
      <c r="AB145" s="18"/>
    </row>
    <row r="146" spans="1:28">
      <c r="A146" s="51">
        <v>145</v>
      </c>
      <c r="B146" s="52"/>
      <c r="C146" s="61"/>
      <c r="D146" s="51"/>
      <c r="E146" s="51" t="s">
        <v>829</v>
      </c>
      <c r="F146" s="55" t="s">
        <v>830</v>
      </c>
      <c r="G146" s="56"/>
      <c r="H146" s="57"/>
      <c r="I146" s="51"/>
      <c r="J146" s="51">
        <f>925</f>
        <v>925</v>
      </c>
      <c r="K146" s="58">
        <v>2.0173611111111111E-2</v>
      </c>
      <c r="L146" s="59" t="s">
        <v>459</v>
      </c>
      <c r="M146" s="51"/>
      <c r="N146" s="51"/>
      <c r="O146" s="51"/>
      <c r="P146" s="51"/>
      <c r="Q146" s="37" t="str">
        <f t="shared" ca="1" si="0"/>
        <v/>
      </c>
      <c r="R146" s="52"/>
      <c r="S146" s="52"/>
      <c r="T146" s="52"/>
      <c r="U146" s="61"/>
      <c r="V146" s="62"/>
      <c r="W146" s="63"/>
      <c r="X146" s="64"/>
      <c r="Y146" s="18"/>
      <c r="Z146" s="18"/>
      <c r="AA146" s="18"/>
      <c r="AB146" s="18"/>
    </row>
    <row r="147" spans="1:28">
      <c r="A147" s="51">
        <v>146</v>
      </c>
      <c r="B147" s="52"/>
      <c r="C147" s="61"/>
      <c r="D147" s="51"/>
      <c r="E147" s="51" t="s">
        <v>832</v>
      </c>
      <c r="F147" s="55" t="s">
        <v>834</v>
      </c>
      <c r="G147" s="56"/>
      <c r="H147" s="57"/>
      <c r="I147" s="51"/>
      <c r="J147" s="51">
        <f>427</f>
        <v>427</v>
      </c>
      <c r="K147" s="58">
        <v>3.1249999999999997E-3</v>
      </c>
      <c r="L147" s="59" t="s">
        <v>459</v>
      </c>
      <c r="M147" s="51"/>
      <c r="N147" s="51"/>
      <c r="O147" s="51"/>
      <c r="P147" s="51"/>
      <c r="Q147" s="37" t="str">
        <f t="shared" ca="1" si="0"/>
        <v/>
      </c>
      <c r="R147" s="52"/>
      <c r="S147" s="52"/>
      <c r="T147" s="52"/>
      <c r="U147" s="61"/>
      <c r="V147" s="62"/>
      <c r="W147" s="63"/>
      <c r="X147" s="64"/>
      <c r="Y147" s="18"/>
      <c r="Z147" s="18"/>
      <c r="AA147" s="18"/>
      <c r="AB147" s="18"/>
    </row>
    <row r="148" spans="1:28">
      <c r="A148" s="51">
        <v>147</v>
      </c>
      <c r="B148" s="52"/>
      <c r="C148" s="61"/>
      <c r="D148" s="51"/>
      <c r="E148" s="51" t="s">
        <v>836</v>
      </c>
      <c r="F148" s="55" t="s">
        <v>837</v>
      </c>
      <c r="G148" s="56"/>
      <c r="H148" s="57"/>
      <c r="I148" s="51"/>
      <c r="J148" s="51">
        <f>3.5*1000</f>
        <v>3500</v>
      </c>
      <c r="K148" s="58">
        <v>2.5208333333333333E-2</v>
      </c>
      <c r="L148" s="59" t="s">
        <v>459</v>
      </c>
      <c r="M148" s="51"/>
      <c r="N148" s="51"/>
      <c r="O148" s="51"/>
      <c r="P148" s="51"/>
      <c r="Q148" s="37" t="str">
        <f t="shared" ca="1" si="0"/>
        <v/>
      </c>
      <c r="R148" s="52"/>
      <c r="S148" s="52"/>
      <c r="T148" s="52"/>
      <c r="U148" s="61"/>
      <c r="V148" s="62"/>
      <c r="W148" s="63"/>
      <c r="X148" s="64"/>
      <c r="Y148" s="18"/>
      <c r="Z148" s="18"/>
      <c r="AA148" s="18"/>
      <c r="AB148" s="18"/>
    </row>
    <row r="149" spans="1:28">
      <c r="A149" s="51">
        <v>148</v>
      </c>
      <c r="B149" s="52"/>
      <c r="C149" s="61"/>
      <c r="D149" s="51"/>
      <c r="E149" s="51" t="s">
        <v>840</v>
      </c>
      <c r="F149" s="55" t="s">
        <v>841</v>
      </c>
      <c r="G149" s="56"/>
      <c r="H149" s="57"/>
      <c r="I149" s="51"/>
      <c r="J149" s="51">
        <f>1.1*1000</f>
        <v>1100</v>
      </c>
      <c r="K149" s="58">
        <v>3.6597222222222225E-2</v>
      </c>
      <c r="L149" s="59" t="s">
        <v>459</v>
      </c>
      <c r="M149" s="51"/>
      <c r="N149" s="51"/>
      <c r="O149" s="51"/>
      <c r="P149" s="51"/>
      <c r="Q149" s="37" t="str">
        <f t="shared" ca="1" si="0"/>
        <v/>
      </c>
      <c r="R149" s="52"/>
      <c r="S149" s="52"/>
      <c r="T149" s="52"/>
      <c r="U149" s="61"/>
      <c r="V149" s="62"/>
      <c r="W149" s="63"/>
      <c r="X149" s="64"/>
      <c r="Y149" s="18"/>
      <c r="Z149" s="18"/>
      <c r="AA149" s="18"/>
      <c r="AB149" s="18"/>
    </row>
    <row r="150" spans="1:28">
      <c r="A150" s="51">
        <v>149</v>
      </c>
      <c r="B150" s="52"/>
      <c r="C150" s="61"/>
      <c r="D150" s="51"/>
      <c r="E150" s="51" t="s">
        <v>844</v>
      </c>
      <c r="F150" s="55" t="s">
        <v>845</v>
      </c>
      <c r="G150" s="56"/>
      <c r="H150" s="57"/>
      <c r="I150" s="51"/>
      <c r="J150" s="51">
        <f>1.2*1000</f>
        <v>1200</v>
      </c>
      <c r="K150" s="58">
        <v>4.2303240740740738E-2</v>
      </c>
      <c r="L150" s="59" t="s">
        <v>459</v>
      </c>
      <c r="M150" s="51"/>
      <c r="N150" s="51"/>
      <c r="O150" s="51"/>
      <c r="P150" s="51"/>
      <c r="Q150" s="37" t="str">
        <f t="shared" ca="1" si="0"/>
        <v/>
      </c>
      <c r="R150" s="52"/>
      <c r="S150" s="52"/>
      <c r="T150" s="52"/>
      <c r="U150" s="61"/>
      <c r="V150" s="62"/>
      <c r="W150" s="63"/>
      <c r="X150" s="64"/>
      <c r="Y150" s="18"/>
      <c r="Z150" s="18"/>
      <c r="AA150" s="18"/>
      <c r="AB150" s="18"/>
    </row>
    <row r="151" spans="1:28">
      <c r="A151" s="51">
        <v>150</v>
      </c>
      <c r="B151" s="52"/>
      <c r="C151" s="61"/>
      <c r="D151" s="51"/>
      <c r="E151" s="51" t="s">
        <v>846</v>
      </c>
      <c r="F151" s="55" t="s">
        <v>847</v>
      </c>
      <c r="G151" s="56"/>
      <c r="H151" s="57"/>
      <c r="I151" s="51"/>
      <c r="J151" s="51">
        <f>1.3*1000</f>
        <v>1300</v>
      </c>
      <c r="K151" s="58">
        <v>4.2129629629629628E-2</v>
      </c>
      <c r="L151" s="59" t="s">
        <v>459</v>
      </c>
      <c r="M151" s="51"/>
      <c r="N151" s="51"/>
      <c r="O151" s="51"/>
      <c r="P151" s="51"/>
      <c r="Q151" s="37" t="str">
        <f t="shared" ca="1" si="0"/>
        <v/>
      </c>
      <c r="R151" s="52"/>
      <c r="S151" s="52"/>
      <c r="T151" s="52"/>
      <c r="U151" s="61"/>
      <c r="V151" s="62"/>
      <c r="W151" s="63"/>
      <c r="X151" s="64"/>
      <c r="Y151" s="18"/>
      <c r="Z151" s="18"/>
      <c r="AA151" s="18"/>
      <c r="AB151" s="18"/>
    </row>
    <row r="152" spans="1:28">
      <c r="A152" s="51">
        <v>151</v>
      </c>
      <c r="B152" s="52"/>
      <c r="C152" s="61"/>
      <c r="D152" s="51"/>
      <c r="E152" s="51" t="s">
        <v>850</v>
      </c>
      <c r="F152" s="55" t="s">
        <v>851</v>
      </c>
      <c r="G152" s="56"/>
      <c r="H152" s="57"/>
      <c r="I152" s="51"/>
      <c r="J152" s="51">
        <f>1*1000</f>
        <v>1000</v>
      </c>
      <c r="K152" s="58">
        <v>3.3020833333333333E-2</v>
      </c>
      <c r="L152" s="59" t="s">
        <v>459</v>
      </c>
      <c r="M152" s="51"/>
      <c r="N152" s="51"/>
      <c r="O152" s="51"/>
      <c r="P152" s="51"/>
      <c r="Q152" s="37" t="str">
        <f t="shared" ca="1" si="0"/>
        <v/>
      </c>
      <c r="R152" s="52"/>
      <c r="S152" s="52"/>
      <c r="T152" s="52"/>
      <c r="U152" s="61"/>
      <c r="V152" s="62"/>
      <c r="W152" s="63"/>
      <c r="X152" s="64"/>
      <c r="Y152" s="18"/>
      <c r="Z152" s="18"/>
      <c r="AA152" s="18"/>
      <c r="AB152" s="18"/>
    </row>
    <row r="153" spans="1:28">
      <c r="A153" s="51">
        <v>152</v>
      </c>
      <c r="B153" s="52"/>
      <c r="C153" s="61"/>
      <c r="D153" s="51"/>
      <c r="E153" s="51" t="s">
        <v>852</v>
      </c>
      <c r="F153" s="55" t="s">
        <v>854</v>
      </c>
      <c r="G153" s="56"/>
      <c r="H153" s="57"/>
      <c r="I153" s="51"/>
      <c r="J153" s="51">
        <f>503</f>
        <v>503</v>
      </c>
      <c r="K153" s="58">
        <v>7.8287037037037044E-2</v>
      </c>
      <c r="L153" s="59" t="s">
        <v>459</v>
      </c>
      <c r="M153" s="51"/>
      <c r="N153" s="51"/>
      <c r="O153" s="51"/>
      <c r="P153" s="51"/>
      <c r="Q153" s="37" t="str">
        <f t="shared" ca="1" si="0"/>
        <v/>
      </c>
      <c r="R153" s="52"/>
      <c r="S153" s="52"/>
      <c r="T153" s="52"/>
      <c r="U153" s="61"/>
      <c r="V153" s="62"/>
      <c r="W153" s="63"/>
      <c r="X153" s="64"/>
      <c r="Y153" s="18"/>
      <c r="Z153" s="18"/>
      <c r="AA153" s="18"/>
      <c r="AB153" s="18"/>
    </row>
    <row r="154" spans="1:28">
      <c r="A154" s="51">
        <v>153</v>
      </c>
      <c r="B154" s="52"/>
      <c r="C154" s="61"/>
      <c r="D154" s="51"/>
      <c r="E154" s="51" t="s">
        <v>855</v>
      </c>
      <c r="F154" s="55" t="s">
        <v>856</v>
      </c>
      <c r="G154" s="56"/>
      <c r="H154" s="57"/>
      <c r="I154" s="51"/>
      <c r="J154" s="51">
        <f>545</f>
        <v>545</v>
      </c>
      <c r="K154" s="58">
        <v>2.2743055555555555E-2</v>
      </c>
      <c r="L154" s="59" t="s">
        <v>459</v>
      </c>
      <c r="M154" s="51"/>
      <c r="N154" s="51"/>
      <c r="O154" s="51"/>
      <c r="P154" s="51"/>
      <c r="Q154" s="37" t="str">
        <f t="shared" ca="1" si="0"/>
        <v/>
      </c>
      <c r="R154" s="52"/>
      <c r="S154" s="52"/>
      <c r="T154" s="52"/>
      <c r="U154" s="61"/>
      <c r="V154" s="62"/>
      <c r="W154" s="63"/>
      <c r="X154" s="64"/>
      <c r="Y154" s="18"/>
      <c r="Z154" s="18"/>
      <c r="AA154" s="18"/>
      <c r="AB154" s="18"/>
    </row>
    <row r="155" spans="1:28">
      <c r="A155" s="51">
        <v>154</v>
      </c>
      <c r="B155" s="52"/>
      <c r="C155" s="61"/>
      <c r="D155" s="51"/>
      <c r="E155" s="51" t="s">
        <v>857</v>
      </c>
      <c r="F155" s="55" t="s">
        <v>858</v>
      </c>
      <c r="G155" s="56"/>
      <c r="H155" s="57"/>
      <c r="I155" s="51"/>
      <c r="J155" s="51">
        <f>1*1000</f>
        <v>1000</v>
      </c>
      <c r="K155" s="58">
        <v>4.6261574074074073E-2</v>
      </c>
      <c r="L155" s="59" t="s">
        <v>459</v>
      </c>
      <c r="M155" s="51"/>
      <c r="N155" s="51"/>
      <c r="O155" s="51"/>
      <c r="P155" s="51"/>
      <c r="Q155" s="37" t="str">
        <f t="shared" ca="1" si="0"/>
        <v/>
      </c>
      <c r="R155" s="52"/>
      <c r="S155" s="52"/>
      <c r="T155" s="52"/>
      <c r="U155" s="61"/>
      <c r="V155" s="62"/>
      <c r="W155" s="63"/>
      <c r="X155" s="64"/>
      <c r="Y155" s="18"/>
      <c r="Z155" s="18"/>
      <c r="AA155" s="18"/>
      <c r="AB155" s="18"/>
    </row>
    <row r="156" spans="1:28">
      <c r="A156" s="51">
        <v>155</v>
      </c>
      <c r="B156" s="52"/>
      <c r="C156" s="61"/>
      <c r="D156" s="51"/>
      <c r="E156" s="51" t="s">
        <v>861</v>
      </c>
      <c r="F156" s="55" t="s">
        <v>862</v>
      </c>
      <c r="G156" s="56"/>
      <c r="H156" s="57"/>
      <c r="I156" s="51"/>
      <c r="J156" s="51">
        <f>453</f>
        <v>453</v>
      </c>
      <c r="K156" s="58">
        <v>4.9189814814814816E-3</v>
      </c>
      <c r="L156" s="59" t="s">
        <v>459</v>
      </c>
      <c r="M156" s="51"/>
      <c r="N156" s="51"/>
      <c r="O156" s="51"/>
      <c r="P156" s="51"/>
      <c r="Q156" s="37" t="str">
        <f t="shared" ca="1" si="0"/>
        <v/>
      </c>
      <c r="R156" s="52"/>
      <c r="S156" s="52"/>
      <c r="T156" s="52"/>
      <c r="U156" s="61"/>
      <c r="V156" s="62"/>
      <c r="W156" s="63"/>
      <c r="X156" s="64"/>
      <c r="Y156" s="18"/>
      <c r="Z156" s="18"/>
      <c r="AA156" s="18"/>
      <c r="AB156" s="18"/>
    </row>
    <row r="157" spans="1:28">
      <c r="A157" s="51">
        <v>156</v>
      </c>
      <c r="B157" s="52"/>
      <c r="C157" s="61"/>
      <c r="D157" s="51"/>
      <c r="E157" s="51" t="s">
        <v>865</v>
      </c>
      <c r="F157" s="55" t="s">
        <v>866</v>
      </c>
      <c r="G157" s="56"/>
      <c r="H157" s="57"/>
      <c r="I157" s="51"/>
      <c r="J157" s="51">
        <f>446</f>
        <v>446</v>
      </c>
      <c r="K157" s="58">
        <v>2.2916666666666667E-3</v>
      </c>
      <c r="L157" s="59" t="s">
        <v>459</v>
      </c>
      <c r="M157" s="51"/>
      <c r="N157" s="51"/>
      <c r="O157" s="51"/>
      <c r="P157" s="51"/>
      <c r="Q157" s="37" t="str">
        <f t="shared" ca="1" si="0"/>
        <v/>
      </c>
      <c r="R157" s="52"/>
      <c r="S157" s="52"/>
      <c r="T157" s="52"/>
      <c r="U157" s="61"/>
      <c r="V157" s="62"/>
      <c r="W157" s="63"/>
      <c r="X157" s="64"/>
      <c r="Y157" s="18"/>
      <c r="Z157" s="18"/>
      <c r="AA157" s="18"/>
      <c r="AB157" s="18"/>
    </row>
    <row r="158" spans="1:28">
      <c r="A158" s="51">
        <v>157</v>
      </c>
      <c r="B158" s="52"/>
      <c r="C158" s="61"/>
      <c r="D158" s="51"/>
      <c r="E158" s="51" t="s">
        <v>867</v>
      </c>
      <c r="F158" s="55" t="s">
        <v>868</v>
      </c>
      <c r="G158" s="56"/>
      <c r="H158" s="57"/>
      <c r="I158" s="51"/>
      <c r="J158" s="51">
        <f>576</f>
        <v>576</v>
      </c>
      <c r="K158" s="58">
        <v>1.736111111111111E-3</v>
      </c>
      <c r="L158" s="59" t="s">
        <v>459</v>
      </c>
      <c r="M158" s="51"/>
      <c r="N158" s="51"/>
      <c r="O158" s="51"/>
      <c r="P158" s="51"/>
      <c r="Q158" s="37" t="str">
        <f t="shared" ca="1" si="0"/>
        <v/>
      </c>
      <c r="R158" s="52"/>
      <c r="S158" s="52"/>
      <c r="T158" s="52"/>
      <c r="U158" s="61"/>
      <c r="V158" s="62"/>
      <c r="W158" s="63"/>
      <c r="X158" s="64"/>
      <c r="Y158" s="18"/>
      <c r="Z158" s="18"/>
      <c r="AA158" s="18"/>
      <c r="AB158" s="18"/>
    </row>
    <row r="159" spans="1:28">
      <c r="A159" s="51">
        <v>158</v>
      </c>
      <c r="B159" s="52"/>
      <c r="C159" s="61"/>
      <c r="D159" s="51"/>
      <c r="E159" s="51" t="s">
        <v>869</v>
      </c>
      <c r="F159" s="55" t="s">
        <v>870</v>
      </c>
      <c r="G159" s="56"/>
      <c r="H159" s="57"/>
      <c r="I159" s="51"/>
      <c r="J159" s="51">
        <f>435</f>
        <v>435</v>
      </c>
      <c r="K159" s="58">
        <v>2.3842592592592591E-3</v>
      </c>
      <c r="L159" s="59" t="s">
        <v>459</v>
      </c>
      <c r="M159" s="51"/>
      <c r="N159" s="51"/>
      <c r="O159" s="51"/>
      <c r="P159" s="51"/>
      <c r="Q159" s="37" t="str">
        <f t="shared" ca="1" si="0"/>
        <v/>
      </c>
      <c r="R159" s="52"/>
      <c r="S159" s="52"/>
      <c r="T159" s="52"/>
      <c r="U159" s="61"/>
      <c r="V159" s="62"/>
      <c r="W159" s="63"/>
      <c r="X159" s="64"/>
      <c r="Y159" s="18"/>
      <c r="Z159" s="18"/>
      <c r="AA159" s="18"/>
      <c r="AB159" s="18"/>
    </row>
    <row r="160" spans="1:28">
      <c r="A160" s="51">
        <v>159</v>
      </c>
      <c r="B160" s="52"/>
      <c r="C160" s="61"/>
      <c r="D160" s="51"/>
      <c r="E160" s="51" t="s">
        <v>872</v>
      </c>
      <c r="F160" s="55" t="s">
        <v>873</v>
      </c>
      <c r="G160" s="56"/>
      <c r="H160" s="57"/>
      <c r="I160" s="51"/>
      <c r="J160" s="51">
        <f>1.1*1000</f>
        <v>1100</v>
      </c>
      <c r="K160" s="58">
        <v>1.1689814814814816E-3</v>
      </c>
      <c r="L160" s="59" t="s">
        <v>459</v>
      </c>
      <c r="M160" s="51"/>
      <c r="N160" s="51"/>
      <c r="O160" s="51"/>
      <c r="P160" s="51"/>
      <c r="Q160" s="37" t="str">
        <f t="shared" ca="1" si="0"/>
        <v/>
      </c>
      <c r="R160" s="52"/>
      <c r="S160" s="52"/>
      <c r="T160" s="52"/>
      <c r="U160" s="61"/>
      <c r="V160" s="62"/>
      <c r="W160" s="63"/>
      <c r="X160" s="64"/>
      <c r="Y160" s="18"/>
      <c r="Z160" s="18"/>
      <c r="AA160" s="18"/>
      <c r="AB160" s="18"/>
    </row>
    <row r="161" spans="1:28">
      <c r="A161" s="51">
        <v>160</v>
      </c>
      <c r="B161" s="52"/>
      <c r="C161" s="61"/>
      <c r="D161" s="51"/>
      <c r="E161" s="51" t="s">
        <v>876</v>
      </c>
      <c r="F161" s="55" t="s">
        <v>877</v>
      </c>
      <c r="G161" s="56"/>
      <c r="H161" s="57"/>
      <c r="I161" s="51"/>
      <c r="J161" s="51">
        <f>202</f>
        <v>202</v>
      </c>
      <c r="K161" s="58">
        <v>2.1180555555555553E-3</v>
      </c>
      <c r="L161" s="59" t="s">
        <v>459</v>
      </c>
      <c r="M161" s="51"/>
      <c r="N161" s="51"/>
      <c r="O161" s="51"/>
      <c r="P161" s="51"/>
      <c r="Q161" s="37" t="str">
        <f t="shared" ca="1" si="0"/>
        <v/>
      </c>
      <c r="R161" s="52"/>
      <c r="S161" s="52"/>
      <c r="T161" s="52"/>
      <c r="U161" s="61"/>
      <c r="V161" s="62"/>
      <c r="W161" s="63"/>
      <c r="X161" s="64"/>
      <c r="Y161" s="18"/>
      <c r="Z161" s="18"/>
      <c r="AA161" s="18"/>
      <c r="AB161" s="18"/>
    </row>
    <row r="162" spans="1:28">
      <c r="A162" s="51">
        <v>161</v>
      </c>
      <c r="B162" s="52"/>
      <c r="C162" s="61"/>
      <c r="D162" s="51"/>
      <c r="E162" s="51" t="s">
        <v>879</v>
      </c>
      <c r="F162" s="55" t="s">
        <v>880</v>
      </c>
      <c r="G162" s="56"/>
      <c r="H162" s="57"/>
      <c r="I162" s="51"/>
      <c r="J162" s="51">
        <f>234</f>
        <v>234</v>
      </c>
      <c r="K162" s="58">
        <v>1.4583333333333334E-3</v>
      </c>
      <c r="L162" s="59" t="s">
        <v>459</v>
      </c>
      <c r="M162" s="51"/>
      <c r="N162" s="51"/>
      <c r="O162" s="51"/>
      <c r="P162" s="51"/>
      <c r="Q162" s="37" t="str">
        <f t="shared" ca="1" si="0"/>
        <v/>
      </c>
      <c r="R162" s="52"/>
      <c r="S162" s="52"/>
      <c r="T162" s="52"/>
      <c r="U162" s="61"/>
      <c r="V162" s="62"/>
      <c r="W162" s="63"/>
      <c r="X162" s="64"/>
      <c r="Y162" s="18"/>
      <c r="Z162" s="18"/>
      <c r="AA162" s="18"/>
      <c r="AB162" s="18"/>
    </row>
    <row r="163" spans="1:28">
      <c r="A163" s="51">
        <v>162</v>
      </c>
      <c r="B163" s="52"/>
      <c r="C163" s="61"/>
      <c r="D163" s="51"/>
      <c r="E163" s="51" t="s">
        <v>883</v>
      </c>
      <c r="F163" s="55" t="s">
        <v>884</v>
      </c>
      <c r="G163" s="56"/>
      <c r="H163" s="57"/>
      <c r="I163" s="51"/>
      <c r="J163" s="51">
        <f>497</f>
        <v>497</v>
      </c>
      <c r="K163" s="58">
        <v>1.4699074074074074E-3</v>
      </c>
      <c r="L163" s="59" t="s">
        <v>459</v>
      </c>
      <c r="M163" s="51"/>
      <c r="N163" s="51"/>
      <c r="O163" s="51"/>
      <c r="P163" s="51"/>
      <c r="Q163" s="37" t="str">
        <f t="shared" ca="1" si="0"/>
        <v/>
      </c>
      <c r="R163" s="52"/>
      <c r="S163" s="52"/>
      <c r="T163" s="52"/>
      <c r="U163" s="61"/>
      <c r="V163" s="62"/>
      <c r="W163" s="63"/>
      <c r="X163" s="64"/>
      <c r="Y163" s="18"/>
      <c r="Z163" s="18"/>
      <c r="AA163" s="18"/>
      <c r="AB163" s="18"/>
    </row>
    <row r="164" spans="1:28">
      <c r="A164" s="51">
        <v>163</v>
      </c>
      <c r="B164" s="52"/>
      <c r="C164" s="61"/>
      <c r="D164" s="51"/>
      <c r="E164" s="51" t="s">
        <v>885</v>
      </c>
      <c r="F164" s="55" t="s">
        <v>886</v>
      </c>
      <c r="G164" s="56"/>
      <c r="H164" s="57"/>
      <c r="I164" s="51"/>
      <c r="J164" s="51">
        <f>315</f>
        <v>315</v>
      </c>
      <c r="K164" s="58">
        <v>5.6944444444444438E-3</v>
      </c>
      <c r="L164" s="59" t="s">
        <v>459</v>
      </c>
      <c r="M164" s="51"/>
      <c r="N164" s="51"/>
      <c r="O164" s="51"/>
      <c r="P164" s="51"/>
      <c r="Q164" s="37" t="str">
        <f t="shared" ca="1" si="0"/>
        <v/>
      </c>
      <c r="R164" s="52"/>
      <c r="S164" s="52"/>
      <c r="T164" s="52"/>
      <c r="U164" s="61"/>
      <c r="V164" s="62"/>
      <c r="W164" s="63"/>
      <c r="X164" s="64"/>
      <c r="Y164" s="18"/>
      <c r="Z164" s="18"/>
      <c r="AA164" s="18"/>
      <c r="AB164" s="18"/>
    </row>
    <row r="165" spans="1:28">
      <c r="A165" s="51">
        <v>164</v>
      </c>
      <c r="B165" s="52"/>
      <c r="C165" s="61"/>
      <c r="D165" s="51"/>
      <c r="E165" s="51" t="s">
        <v>888</v>
      </c>
      <c r="F165" s="55" t="s">
        <v>889</v>
      </c>
      <c r="G165" s="56"/>
      <c r="H165" s="57"/>
      <c r="I165" s="51"/>
      <c r="J165" s="51">
        <f>535</f>
        <v>535</v>
      </c>
      <c r="K165" s="58">
        <v>2.1527777777777778E-3</v>
      </c>
      <c r="L165" s="59" t="s">
        <v>459</v>
      </c>
      <c r="M165" s="51"/>
      <c r="N165" s="51"/>
      <c r="O165" s="51"/>
      <c r="P165" s="51"/>
      <c r="Q165" s="37" t="str">
        <f t="shared" ca="1" si="0"/>
        <v/>
      </c>
      <c r="R165" s="52"/>
      <c r="S165" s="52"/>
      <c r="T165" s="52"/>
      <c r="U165" s="61"/>
      <c r="V165" s="62"/>
      <c r="W165" s="63"/>
      <c r="X165" s="64"/>
      <c r="Y165" s="18"/>
      <c r="Z165" s="18"/>
      <c r="AA165" s="18"/>
      <c r="AB165" s="18"/>
    </row>
    <row r="166" spans="1:28">
      <c r="A166" s="51">
        <v>165</v>
      </c>
      <c r="B166" s="52"/>
      <c r="C166" s="61"/>
      <c r="D166" s="51"/>
      <c r="E166" s="51" t="s">
        <v>890</v>
      </c>
      <c r="F166" s="55" t="s">
        <v>891</v>
      </c>
      <c r="G166" s="56"/>
      <c r="H166" s="57"/>
      <c r="I166" s="51"/>
      <c r="J166" s="51">
        <f>2.7*1000</f>
        <v>2700</v>
      </c>
      <c r="K166" s="58">
        <v>1.0115740740740741E-2</v>
      </c>
      <c r="L166" s="59" t="s">
        <v>459</v>
      </c>
      <c r="M166" s="51"/>
      <c r="N166" s="51"/>
      <c r="O166" s="51"/>
      <c r="P166" s="51"/>
      <c r="Q166" s="37" t="str">
        <f t="shared" ca="1" si="0"/>
        <v/>
      </c>
      <c r="R166" s="52"/>
      <c r="S166" s="52"/>
      <c r="T166" s="52"/>
      <c r="U166" s="61"/>
      <c r="V166" s="62"/>
      <c r="W166" s="63"/>
      <c r="X166" s="64"/>
      <c r="Y166" s="18"/>
      <c r="Z166" s="18"/>
      <c r="AA166" s="18"/>
      <c r="AB166" s="18"/>
    </row>
    <row r="167" spans="1:28">
      <c r="A167" s="51">
        <v>166</v>
      </c>
      <c r="B167" s="52"/>
      <c r="C167" s="61"/>
      <c r="D167" s="51"/>
      <c r="E167" s="51" t="s">
        <v>892</v>
      </c>
      <c r="F167" s="55" t="s">
        <v>893</v>
      </c>
      <c r="G167" s="56"/>
      <c r="H167" s="57"/>
      <c r="I167" s="51"/>
      <c r="J167" s="51">
        <f>4.7*1000</f>
        <v>4700</v>
      </c>
      <c r="K167" s="58">
        <v>7.5601851851851851E-2</v>
      </c>
      <c r="L167" s="59" t="s">
        <v>459</v>
      </c>
      <c r="M167" s="51"/>
      <c r="N167" s="51"/>
      <c r="O167" s="51"/>
      <c r="P167" s="51"/>
      <c r="Q167" s="37" t="str">
        <f t="shared" ca="1" si="0"/>
        <v/>
      </c>
      <c r="R167" s="52"/>
      <c r="S167" s="52"/>
      <c r="T167" s="52"/>
      <c r="U167" s="61"/>
      <c r="V167" s="62"/>
      <c r="W167" s="63"/>
      <c r="X167" s="64"/>
      <c r="Y167" s="18"/>
      <c r="Z167" s="18"/>
      <c r="AA167" s="18"/>
      <c r="AB167" s="18"/>
    </row>
    <row r="168" spans="1:28">
      <c r="A168" s="51">
        <v>167</v>
      </c>
      <c r="B168" s="52"/>
      <c r="C168" s="61"/>
      <c r="D168" s="51"/>
      <c r="E168" s="51" t="s">
        <v>894</v>
      </c>
      <c r="F168" s="55" t="s">
        <v>895</v>
      </c>
      <c r="G168" s="56"/>
      <c r="H168" s="57"/>
      <c r="I168" s="51"/>
      <c r="J168" s="51">
        <f>7.5*1000</f>
        <v>7500</v>
      </c>
      <c r="K168" s="58">
        <v>9.3368055555555551E-2</v>
      </c>
      <c r="L168" s="59" t="s">
        <v>459</v>
      </c>
      <c r="M168" s="51"/>
      <c r="N168" s="51"/>
      <c r="O168" s="51"/>
      <c r="P168" s="51"/>
      <c r="Q168" s="37" t="str">
        <f t="shared" ca="1" si="0"/>
        <v/>
      </c>
      <c r="R168" s="52"/>
      <c r="S168" s="52"/>
      <c r="T168" s="52"/>
      <c r="U168" s="61"/>
      <c r="V168" s="62"/>
      <c r="W168" s="63"/>
      <c r="X168" s="64"/>
      <c r="Y168" s="18"/>
      <c r="Z168" s="18"/>
      <c r="AA168" s="18"/>
      <c r="AB168" s="18"/>
    </row>
    <row r="169" spans="1:28">
      <c r="A169" s="51">
        <v>168</v>
      </c>
      <c r="B169" s="52"/>
      <c r="C169" s="61"/>
      <c r="D169" s="51"/>
      <c r="E169" s="51" t="s">
        <v>896</v>
      </c>
      <c r="F169" s="55" t="s">
        <v>897</v>
      </c>
      <c r="G169" s="56"/>
      <c r="H169" s="57"/>
      <c r="I169" s="51"/>
      <c r="J169" s="51">
        <f>1.8*1000</f>
        <v>1800</v>
      </c>
      <c r="K169" s="58">
        <v>5.2962962962962962E-2</v>
      </c>
      <c r="L169" s="59" t="s">
        <v>459</v>
      </c>
      <c r="M169" s="51"/>
      <c r="N169" s="51"/>
      <c r="O169" s="51"/>
      <c r="P169" s="51"/>
      <c r="Q169" s="37" t="str">
        <f t="shared" ca="1" si="0"/>
        <v/>
      </c>
      <c r="R169" s="52"/>
      <c r="S169" s="52"/>
      <c r="T169" s="52"/>
      <c r="U169" s="61"/>
      <c r="V169" s="62"/>
      <c r="W169" s="63"/>
      <c r="X169" s="64"/>
      <c r="Y169" s="18"/>
      <c r="Z169" s="18"/>
      <c r="AA169" s="18"/>
      <c r="AB169" s="18"/>
    </row>
    <row r="170" spans="1:28">
      <c r="A170" s="51">
        <v>169</v>
      </c>
      <c r="B170" s="52"/>
      <c r="C170" s="61"/>
      <c r="D170" s="51"/>
      <c r="E170" s="51" t="s">
        <v>898</v>
      </c>
      <c r="F170" s="55" t="s">
        <v>899</v>
      </c>
      <c r="G170" s="56"/>
      <c r="H170" s="57"/>
      <c r="I170" s="51"/>
      <c r="J170" s="51">
        <f>343</f>
        <v>343</v>
      </c>
      <c r="K170" s="58">
        <v>2.8240740740740739E-3</v>
      </c>
      <c r="L170" s="59" t="s">
        <v>459</v>
      </c>
      <c r="M170" s="51"/>
      <c r="N170" s="51"/>
      <c r="O170" s="51"/>
      <c r="P170" s="51"/>
      <c r="Q170" s="37" t="str">
        <f t="shared" ca="1" si="0"/>
        <v/>
      </c>
      <c r="R170" s="52"/>
      <c r="S170" s="52"/>
      <c r="T170" s="52"/>
      <c r="U170" s="61"/>
      <c r="V170" s="62"/>
      <c r="W170" s="63"/>
      <c r="X170" s="64"/>
      <c r="Y170" s="18"/>
      <c r="Z170" s="18"/>
      <c r="AA170" s="18"/>
      <c r="AB170" s="18"/>
    </row>
    <row r="171" spans="1:28">
      <c r="A171" s="51">
        <v>170</v>
      </c>
      <c r="B171" s="52"/>
      <c r="C171" s="61"/>
      <c r="D171" s="51"/>
      <c r="E171" s="51" t="s">
        <v>900</v>
      </c>
      <c r="F171" s="55" t="s">
        <v>901</v>
      </c>
      <c r="G171" s="56"/>
      <c r="H171" s="57"/>
      <c r="I171" s="51"/>
      <c r="J171" s="51">
        <f>1.5*1000</f>
        <v>1500</v>
      </c>
      <c r="K171" s="58">
        <v>5.9594907407407409E-2</v>
      </c>
      <c r="L171" s="59" t="s">
        <v>459</v>
      </c>
      <c r="M171" s="51"/>
      <c r="N171" s="51"/>
      <c r="O171" s="51"/>
      <c r="P171" s="51"/>
      <c r="Q171" s="37" t="str">
        <f t="shared" ca="1" si="0"/>
        <v/>
      </c>
      <c r="R171" s="52"/>
      <c r="S171" s="52"/>
      <c r="T171" s="52"/>
      <c r="U171" s="61"/>
      <c r="V171" s="62"/>
      <c r="W171" s="63"/>
      <c r="X171" s="64"/>
      <c r="Y171" s="18"/>
      <c r="Z171" s="18"/>
      <c r="AA171" s="18"/>
      <c r="AB171" s="18"/>
    </row>
    <row r="172" spans="1:28">
      <c r="A172" s="51">
        <v>171</v>
      </c>
      <c r="B172" s="52"/>
      <c r="C172" s="61"/>
      <c r="D172" s="51"/>
      <c r="E172" s="51" t="s">
        <v>902</v>
      </c>
      <c r="F172" s="55" t="s">
        <v>903</v>
      </c>
      <c r="G172" s="56"/>
      <c r="H172" s="57"/>
      <c r="I172" s="51"/>
      <c r="J172" s="51">
        <f>463</f>
        <v>463</v>
      </c>
      <c r="K172" s="58">
        <v>2.4965277777777781E-2</v>
      </c>
      <c r="L172" s="59" t="s">
        <v>459</v>
      </c>
      <c r="M172" s="51"/>
      <c r="N172" s="51"/>
      <c r="O172" s="51"/>
      <c r="P172" s="51"/>
      <c r="Q172" s="37" t="str">
        <f t="shared" ca="1" si="0"/>
        <v/>
      </c>
      <c r="R172" s="52"/>
      <c r="S172" s="52"/>
      <c r="T172" s="52"/>
      <c r="U172" s="61"/>
      <c r="V172" s="62"/>
      <c r="W172" s="63"/>
      <c r="X172" s="64"/>
      <c r="Y172" s="18"/>
      <c r="Z172" s="18"/>
      <c r="AA172" s="18"/>
      <c r="AB172" s="18"/>
    </row>
    <row r="173" spans="1:28">
      <c r="A173" s="51">
        <v>172</v>
      </c>
      <c r="B173" s="52"/>
      <c r="C173" s="61"/>
      <c r="D173" s="51"/>
      <c r="E173" s="51" t="s">
        <v>905</v>
      </c>
      <c r="F173" s="55" t="s">
        <v>906</v>
      </c>
      <c r="G173" s="56"/>
      <c r="H173" s="57"/>
      <c r="I173" s="51"/>
      <c r="J173" s="51">
        <f>5.2*1000</f>
        <v>5200</v>
      </c>
      <c r="K173" s="58">
        <v>5.5775462962962964E-2</v>
      </c>
      <c r="L173" s="59" t="s">
        <v>459</v>
      </c>
      <c r="M173" s="51"/>
      <c r="N173" s="51"/>
      <c r="O173" s="51"/>
      <c r="P173" s="51"/>
      <c r="Q173" s="37" t="str">
        <f t="shared" ca="1" si="0"/>
        <v/>
      </c>
      <c r="R173" s="52"/>
      <c r="S173" s="52"/>
      <c r="T173" s="52"/>
      <c r="U173" s="61"/>
      <c r="V173" s="62"/>
      <c r="W173" s="63"/>
      <c r="X173" s="64"/>
      <c r="Y173" s="18"/>
      <c r="Z173" s="18"/>
      <c r="AA173" s="18"/>
      <c r="AB173" s="18"/>
    </row>
    <row r="174" spans="1:28">
      <c r="A174" s="51">
        <v>173</v>
      </c>
      <c r="B174" s="52"/>
      <c r="C174" s="61"/>
      <c r="D174" s="51"/>
      <c r="E174" s="51" t="s">
        <v>907</v>
      </c>
      <c r="F174" s="55" t="s">
        <v>908</v>
      </c>
      <c r="G174" s="56"/>
      <c r="H174" s="57"/>
      <c r="I174" s="51"/>
      <c r="J174" s="51">
        <f>624</f>
        <v>624</v>
      </c>
      <c r="K174" s="58">
        <v>2.5868055555555557E-2</v>
      </c>
      <c r="L174" s="59" t="s">
        <v>459</v>
      </c>
      <c r="M174" s="51"/>
      <c r="N174" s="51"/>
      <c r="O174" s="51"/>
      <c r="P174" s="51"/>
      <c r="Q174" s="37" t="str">
        <f t="shared" ca="1" si="0"/>
        <v/>
      </c>
      <c r="R174" s="52"/>
      <c r="S174" s="52"/>
      <c r="T174" s="52"/>
      <c r="U174" s="61"/>
      <c r="V174" s="62"/>
      <c r="W174" s="63"/>
      <c r="X174" s="64"/>
      <c r="Y174" s="18"/>
      <c r="Z174" s="18"/>
      <c r="AA174" s="18"/>
      <c r="AB174" s="18"/>
    </row>
    <row r="175" spans="1:28">
      <c r="A175" s="51">
        <v>174</v>
      </c>
      <c r="B175" s="52"/>
      <c r="C175" s="61"/>
      <c r="D175" s="51"/>
      <c r="E175" s="51" t="s">
        <v>909</v>
      </c>
      <c r="F175" s="55" t="s">
        <v>910</v>
      </c>
      <c r="G175" s="56"/>
      <c r="H175" s="57"/>
      <c r="I175" s="51"/>
      <c r="J175" s="51">
        <f>1.4*1000</f>
        <v>1400</v>
      </c>
      <c r="K175" s="58">
        <v>1.7754629629629631E-2</v>
      </c>
      <c r="L175" s="59" t="s">
        <v>459</v>
      </c>
      <c r="M175" s="51"/>
      <c r="N175" s="51"/>
      <c r="O175" s="51"/>
      <c r="P175" s="51"/>
      <c r="Q175" s="37" t="str">
        <f t="shared" ca="1" si="0"/>
        <v/>
      </c>
      <c r="R175" s="52"/>
      <c r="S175" s="52"/>
      <c r="T175" s="52"/>
      <c r="U175" s="61"/>
      <c r="V175" s="62"/>
      <c r="W175" s="63"/>
      <c r="X175" s="64"/>
      <c r="Y175" s="18"/>
      <c r="Z175" s="18"/>
      <c r="AA175" s="18"/>
      <c r="AB175" s="18"/>
    </row>
    <row r="176" spans="1:28">
      <c r="A176" s="51">
        <v>175</v>
      </c>
      <c r="B176" s="52"/>
      <c r="C176" s="61"/>
      <c r="D176" s="51"/>
      <c r="E176" s="51" t="s">
        <v>911</v>
      </c>
      <c r="F176" s="55" t="s">
        <v>912</v>
      </c>
      <c r="G176" s="56"/>
      <c r="H176" s="57"/>
      <c r="I176" s="51"/>
      <c r="J176" s="51">
        <f>3.1*1000</f>
        <v>3100</v>
      </c>
      <c r="K176" s="58">
        <v>8.3472222222222225E-2</v>
      </c>
      <c r="L176" s="59" t="s">
        <v>459</v>
      </c>
      <c r="M176" s="51"/>
      <c r="N176" s="51"/>
      <c r="O176" s="51"/>
      <c r="P176" s="51"/>
      <c r="Q176" s="37" t="str">
        <f t="shared" ca="1" si="0"/>
        <v/>
      </c>
      <c r="R176" s="52"/>
      <c r="S176" s="52"/>
      <c r="T176" s="52"/>
      <c r="U176" s="61"/>
      <c r="V176" s="62"/>
      <c r="W176" s="63"/>
      <c r="X176" s="64"/>
      <c r="Y176" s="18"/>
      <c r="Z176" s="18"/>
      <c r="AA176" s="18"/>
      <c r="AB176" s="18"/>
    </row>
    <row r="177" spans="1:28">
      <c r="A177" s="51">
        <v>176</v>
      </c>
      <c r="B177" s="52"/>
      <c r="C177" s="61"/>
      <c r="D177" s="51"/>
      <c r="E177" s="51" t="s">
        <v>913</v>
      </c>
      <c r="F177" s="55" t="s">
        <v>914</v>
      </c>
      <c r="G177" s="56"/>
      <c r="H177" s="57"/>
      <c r="I177" s="51"/>
      <c r="J177" s="51">
        <f>2*1000</f>
        <v>2000</v>
      </c>
      <c r="K177" s="58">
        <v>6.1168981481481477E-2</v>
      </c>
      <c r="L177" s="59" t="s">
        <v>459</v>
      </c>
      <c r="M177" s="51"/>
      <c r="N177" s="51"/>
      <c r="O177" s="51"/>
      <c r="P177" s="51"/>
      <c r="Q177" s="37" t="str">
        <f t="shared" ca="1" si="0"/>
        <v/>
      </c>
      <c r="R177" s="52"/>
      <c r="S177" s="52"/>
      <c r="T177" s="52"/>
      <c r="U177" s="61"/>
      <c r="V177" s="62"/>
      <c r="W177" s="63"/>
      <c r="X177" s="64"/>
      <c r="Y177" s="18"/>
      <c r="Z177" s="18"/>
      <c r="AA177" s="18"/>
      <c r="AB177" s="18"/>
    </row>
    <row r="178" spans="1:28">
      <c r="A178" s="51">
        <v>177</v>
      </c>
      <c r="B178" s="52"/>
      <c r="C178" s="61"/>
      <c r="D178" s="51"/>
      <c r="E178" s="51" t="s">
        <v>915</v>
      </c>
      <c r="F178" s="55" t="s">
        <v>916</v>
      </c>
      <c r="G178" s="56"/>
      <c r="H178" s="57"/>
      <c r="I178" s="51"/>
      <c r="J178" s="51">
        <f>7.3*1000</f>
        <v>7300</v>
      </c>
      <c r="K178" s="58">
        <v>3.1041666666666665E-2</v>
      </c>
      <c r="L178" s="59" t="s">
        <v>710</v>
      </c>
      <c r="M178" s="51"/>
      <c r="N178" s="51"/>
      <c r="O178" s="51"/>
      <c r="P178" s="51"/>
      <c r="Q178" s="37" t="str">
        <f t="shared" ca="1" si="0"/>
        <v/>
      </c>
      <c r="R178" s="52"/>
      <c r="S178" s="52"/>
      <c r="T178" s="52"/>
      <c r="U178" s="61"/>
      <c r="V178" s="62"/>
      <c r="W178" s="63"/>
      <c r="X178" s="64"/>
      <c r="Y178" s="18"/>
      <c r="Z178" s="18"/>
      <c r="AA178" s="18"/>
      <c r="AB178" s="18"/>
    </row>
    <row r="179" spans="1:28">
      <c r="A179" s="51">
        <v>178</v>
      </c>
      <c r="B179" s="69" t="s">
        <v>97</v>
      </c>
      <c r="C179" s="61"/>
      <c r="D179" s="54" t="s">
        <v>93</v>
      </c>
      <c r="E179" s="51" t="s">
        <v>704</v>
      </c>
      <c r="F179" s="55" t="s">
        <v>705</v>
      </c>
      <c r="G179" s="56"/>
      <c r="H179" s="57"/>
      <c r="I179" s="51"/>
      <c r="J179" s="51">
        <f>2.5*1000</f>
        <v>2500</v>
      </c>
      <c r="K179" s="58">
        <v>4.7199074074074067E-2</v>
      </c>
      <c r="L179" s="59" t="s">
        <v>710</v>
      </c>
      <c r="M179" s="51"/>
      <c r="N179" s="51"/>
      <c r="O179" s="51"/>
      <c r="P179" s="51"/>
      <c r="Q179" s="37" t="str">
        <f t="shared" ca="1" si="0"/>
        <v/>
      </c>
      <c r="R179" s="52"/>
      <c r="S179" s="52"/>
      <c r="T179" s="52"/>
      <c r="U179" s="61"/>
      <c r="V179" s="62"/>
      <c r="W179" s="63"/>
      <c r="X179" s="64"/>
      <c r="Y179" s="18"/>
      <c r="Z179" s="18"/>
      <c r="AA179" s="18"/>
      <c r="AB179" s="18"/>
    </row>
    <row r="180" spans="1:28">
      <c r="A180" s="51">
        <v>179</v>
      </c>
      <c r="B180" s="52"/>
      <c r="C180" s="61"/>
      <c r="D180" s="51"/>
      <c r="E180" s="51" t="s">
        <v>919</v>
      </c>
      <c r="F180" s="55" t="s">
        <v>920</v>
      </c>
      <c r="G180" s="56"/>
      <c r="H180" s="57"/>
      <c r="I180" s="51"/>
      <c r="J180" s="51">
        <f>1.2*1000</f>
        <v>1200</v>
      </c>
      <c r="K180" s="58">
        <v>1.638888888888889E-2</v>
      </c>
      <c r="L180" s="59" t="s">
        <v>710</v>
      </c>
      <c r="M180" s="51"/>
      <c r="N180" s="51"/>
      <c r="O180" s="51"/>
      <c r="P180" s="51"/>
      <c r="Q180" s="37" t="str">
        <f t="shared" ca="1" si="0"/>
        <v/>
      </c>
      <c r="R180" s="52"/>
      <c r="S180" s="52"/>
      <c r="T180" s="52"/>
      <c r="U180" s="61"/>
      <c r="V180" s="62"/>
      <c r="W180" s="63"/>
      <c r="X180" s="64"/>
      <c r="Y180" s="18"/>
      <c r="Z180" s="18"/>
      <c r="AA180" s="18"/>
      <c r="AB180" s="18"/>
    </row>
    <row r="181" spans="1:28">
      <c r="A181" s="51">
        <v>180</v>
      </c>
      <c r="B181" s="52"/>
      <c r="C181" s="61"/>
      <c r="D181" s="51"/>
      <c r="E181" s="51" t="s">
        <v>921</v>
      </c>
      <c r="F181" s="55" t="s">
        <v>922</v>
      </c>
      <c r="G181" s="56"/>
      <c r="H181" s="57"/>
      <c r="I181" s="51"/>
      <c r="J181" s="51">
        <f>8.4*1000</f>
        <v>8400</v>
      </c>
      <c r="K181" s="58">
        <v>3.2407407407407406E-3</v>
      </c>
      <c r="L181" s="59" t="s">
        <v>710</v>
      </c>
      <c r="M181" s="51"/>
      <c r="N181" s="51"/>
      <c r="O181" s="51"/>
      <c r="P181" s="51"/>
      <c r="Q181" s="37" t="str">
        <f t="shared" ca="1" si="0"/>
        <v/>
      </c>
      <c r="R181" s="52"/>
      <c r="S181" s="52"/>
      <c r="T181" s="52"/>
      <c r="U181" s="61"/>
      <c r="V181" s="62"/>
      <c r="W181" s="63"/>
      <c r="X181" s="64"/>
      <c r="Y181" s="18"/>
      <c r="Z181" s="18"/>
      <c r="AA181" s="18"/>
      <c r="AB181" s="18"/>
    </row>
    <row r="182" spans="1:28">
      <c r="A182" s="51">
        <v>181</v>
      </c>
      <c r="B182" s="52"/>
      <c r="C182" s="61"/>
      <c r="D182" s="51"/>
      <c r="E182" s="51" t="s">
        <v>923</v>
      </c>
      <c r="F182" s="55" t="s">
        <v>924</v>
      </c>
      <c r="G182" s="56"/>
      <c r="H182" s="57"/>
      <c r="I182" s="51"/>
      <c r="J182" s="51">
        <f>12*1000</f>
        <v>12000</v>
      </c>
      <c r="K182" s="58">
        <v>4.0833333333333333E-2</v>
      </c>
      <c r="L182" s="59" t="s">
        <v>710</v>
      </c>
      <c r="M182" s="51"/>
      <c r="N182" s="51"/>
      <c r="O182" s="51"/>
      <c r="P182" s="51"/>
      <c r="Q182" s="37" t="str">
        <f t="shared" ca="1" si="0"/>
        <v/>
      </c>
      <c r="R182" s="52"/>
      <c r="S182" s="52"/>
      <c r="T182" s="52"/>
      <c r="U182" s="61"/>
      <c r="V182" s="62"/>
      <c r="W182" s="63"/>
      <c r="X182" s="64"/>
      <c r="Y182" s="18"/>
      <c r="Z182" s="18"/>
      <c r="AA182" s="18"/>
      <c r="AB182" s="18"/>
    </row>
    <row r="183" spans="1:28">
      <c r="A183" s="51">
        <v>182</v>
      </c>
      <c r="B183" s="52"/>
      <c r="C183" s="61"/>
      <c r="D183" s="51"/>
      <c r="E183" s="51" t="s">
        <v>925</v>
      </c>
      <c r="F183" s="55" t="s">
        <v>926</v>
      </c>
      <c r="G183" s="56"/>
      <c r="H183" s="57"/>
      <c r="I183" s="51"/>
      <c r="J183" s="51">
        <f>7.6*1000</f>
        <v>7600</v>
      </c>
      <c r="K183" s="58">
        <v>6.6435185185185182E-3</v>
      </c>
      <c r="L183" s="59" t="s">
        <v>710</v>
      </c>
      <c r="M183" s="51"/>
      <c r="N183" s="51"/>
      <c r="O183" s="51"/>
      <c r="P183" s="51"/>
      <c r="Q183" s="37" t="str">
        <f t="shared" ca="1" si="0"/>
        <v/>
      </c>
      <c r="R183" s="52"/>
      <c r="S183" s="52"/>
      <c r="T183" s="52"/>
      <c r="U183" s="61"/>
      <c r="V183" s="62"/>
      <c r="W183" s="63"/>
      <c r="X183" s="64"/>
      <c r="Y183" s="18"/>
      <c r="Z183" s="18"/>
      <c r="AA183" s="18"/>
      <c r="AB183" s="18"/>
    </row>
    <row r="184" spans="1:28">
      <c r="A184" s="51">
        <v>183</v>
      </c>
      <c r="B184" s="52"/>
      <c r="C184" s="61"/>
      <c r="D184" s="51"/>
      <c r="E184" s="51" t="s">
        <v>927</v>
      </c>
      <c r="F184" s="55" t="s">
        <v>928</v>
      </c>
      <c r="G184" s="56"/>
      <c r="H184" s="57"/>
      <c r="I184" s="51"/>
      <c r="J184" s="51">
        <f>55*1000</f>
        <v>55000</v>
      </c>
      <c r="K184" s="58">
        <v>1.5949074074074074E-2</v>
      </c>
      <c r="L184" s="59" t="s">
        <v>710</v>
      </c>
      <c r="M184" s="51"/>
      <c r="N184" s="51"/>
      <c r="O184" s="51"/>
      <c r="P184" s="51"/>
      <c r="Q184" s="37" t="str">
        <f t="shared" ca="1" si="0"/>
        <v/>
      </c>
      <c r="R184" s="52"/>
      <c r="S184" s="52"/>
      <c r="T184" s="52"/>
      <c r="U184" s="61"/>
      <c r="V184" s="62"/>
      <c r="W184" s="63"/>
      <c r="X184" s="64"/>
      <c r="Y184" s="18"/>
      <c r="Z184" s="18"/>
      <c r="AA184" s="18"/>
      <c r="AB184" s="18"/>
    </row>
    <row r="185" spans="1:28">
      <c r="A185" s="51">
        <v>184</v>
      </c>
      <c r="B185" s="52"/>
      <c r="C185" s="61"/>
      <c r="D185" s="51"/>
      <c r="E185" s="51" t="s">
        <v>929</v>
      </c>
      <c r="F185" s="55" t="s">
        <v>930</v>
      </c>
      <c r="G185" s="56"/>
      <c r="H185" s="57"/>
      <c r="I185" s="51"/>
      <c r="J185" s="51">
        <f>6.8*1000</f>
        <v>6800</v>
      </c>
      <c r="K185" s="58">
        <v>1.2118055555555556E-2</v>
      </c>
      <c r="L185" s="59" t="s">
        <v>710</v>
      </c>
      <c r="M185" s="51"/>
      <c r="N185" s="51"/>
      <c r="O185" s="51"/>
      <c r="P185" s="51"/>
      <c r="Q185" s="37" t="str">
        <f t="shared" ca="1" si="0"/>
        <v/>
      </c>
      <c r="R185" s="52"/>
      <c r="S185" s="52"/>
      <c r="T185" s="52"/>
      <c r="U185" s="61"/>
      <c r="V185" s="62"/>
      <c r="W185" s="63"/>
      <c r="X185" s="64"/>
      <c r="Y185" s="18"/>
      <c r="Z185" s="18"/>
      <c r="AA185" s="18"/>
      <c r="AB185" s="18"/>
    </row>
    <row r="186" spans="1:28">
      <c r="A186" s="51">
        <v>185</v>
      </c>
      <c r="B186" s="52"/>
      <c r="C186" s="61"/>
      <c r="D186" s="51"/>
      <c r="E186" s="51" t="s">
        <v>931</v>
      </c>
      <c r="F186" s="55" t="s">
        <v>932</v>
      </c>
      <c r="G186" s="56"/>
      <c r="H186" s="57"/>
      <c r="I186" s="51"/>
      <c r="J186" s="51">
        <f>4*1000</f>
        <v>4000</v>
      </c>
      <c r="K186" s="58">
        <v>8.4027777777777781E-3</v>
      </c>
      <c r="L186" s="59" t="s">
        <v>710</v>
      </c>
      <c r="M186" s="51"/>
      <c r="N186" s="51"/>
      <c r="O186" s="51"/>
      <c r="P186" s="51"/>
      <c r="Q186" s="37" t="str">
        <f t="shared" ca="1" si="0"/>
        <v/>
      </c>
      <c r="R186" s="52"/>
      <c r="S186" s="52"/>
      <c r="T186" s="52"/>
      <c r="U186" s="61"/>
      <c r="V186" s="62"/>
      <c r="W186" s="63"/>
      <c r="X186" s="64"/>
      <c r="Y186" s="18"/>
      <c r="Z186" s="18"/>
      <c r="AA186" s="18"/>
      <c r="AB186" s="18"/>
    </row>
    <row r="187" spans="1:28">
      <c r="A187" s="51">
        <v>186</v>
      </c>
      <c r="B187" s="52"/>
      <c r="C187" s="61"/>
      <c r="D187" s="51"/>
      <c r="E187" s="51" t="s">
        <v>933</v>
      </c>
      <c r="F187" s="55" t="s">
        <v>934</v>
      </c>
      <c r="G187" s="56"/>
      <c r="H187" s="57"/>
      <c r="I187" s="51"/>
      <c r="J187" s="51">
        <f>3.9*1000</f>
        <v>3900</v>
      </c>
      <c r="K187" s="58">
        <v>5.1736111111111115E-3</v>
      </c>
      <c r="L187" s="59" t="s">
        <v>710</v>
      </c>
      <c r="M187" s="51"/>
      <c r="N187" s="51"/>
      <c r="O187" s="51"/>
      <c r="P187" s="51"/>
      <c r="Q187" s="37" t="str">
        <f t="shared" ca="1" si="0"/>
        <v/>
      </c>
      <c r="R187" s="52"/>
      <c r="S187" s="52"/>
      <c r="T187" s="52"/>
      <c r="U187" s="61"/>
      <c r="V187" s="62"/>
      <c r="W187" s="63"/>
      <c r="X187" s="64"/>
      <c r="Y187" s="18"/>
      <c r="Z187" s="18"/>
      <c r="AA187" s="18"/>
      <c r="AB187" s="18"/>
    </row>
    <row r="188" spans="1:28">
      <c r="A188" s="51">
        <v>187</v>
      </c>
      <c r="B188" s="52"/>
      <c r="C188" s="61"/>
      <c r="D188" s="51"/>
      <c r="E188" s="51" t="s">
        <v>935</v>
      </c>
      <c r="F188" s="55" t="s">
        <v>936</v>
      </c>
      <c r="G188" s="56"/>
      <c r="H188" s="57"/>
      <c r="I188" s="51"/>
      <c r="J188" s="51">
        <f>3.8*1000</f>
        <v>3800</v>
      </c>
      <c r="K188" s="58">
        <v>5.7523148148148143E-3</v>
      </c>
      <c r="L188" s="59" t="s">
        <v>710</v>
      </c>
      <c r="M188" s="51"/>
      <c r="N188" s="51"/>
      <c r="O188" s="51"/>
      <c r="P188" s="51"/>
      <c r="Q188" s="37" t="str">
        <f t="shared" ca="1" si="0"/>
        <v/>
      </c>
      <c r="R188" s="52"/>
      <c r="S188" s="52"/>
      <c r="T188" s="52"/>
      <c r="U188" s="61"/>
      <c r="V188" s="62"/>
      <c r="W188" s="63"/>
      <c r="X188" s="64"/>
      <c r="Y188" s="18"/>
      <c r="Z188" s="18"/>
      <c r="AA188" s="18"/>
      <c r="AB188" s="18"/>
    </row>
    <row r="189" spans="1:28">
      <c r="A189" s="51">
        <v>188</v>
      </c>
      <c r="B189" s="52"/>
      <c r="C189" s="61"/>
      <c r="D189" s="51"/>
      <c r="E189" s="51" t="s">
        <v>937</v>
      </c>
      <c r="F189" s="55" t="s">
        <v>938</v>
      </c>
      <c r="G189" s="56"/>
      <c r="H189" s="57"/>
      <c r="I189" s="51"/>
      <c r="J189" s="51">
        <f>3.2*1000</f>
        <v>3200</v>
      </c>
      <c r="K189" s="58">
        <v>1.5277777777777779E-3</v>
      </c>
      <c r="L189" s="59" t="s">
        <v>710</v>
      </c>
      <c r="M189" s="51"/>
      <c r="N189" s="51"/>
      <c r="O189" s="51"/>
      <c r="P189" s="51"/>
      <c r="Q189" s="37" t="str">
        <f t="shared" ca="1" si="0"/>
        <v/>
      </c>
      <c r="R189" s="52"/>
      <c r="S189" s="52"/>
      <c r="T189" s="52"/>
      <c r="U189" s="61"/>
      <c r="V189" s="62"/>
      <c r="W189" s="63"/>
      <c r="X189" s="64"/>
      <c r="Y189" s="18"/>
      <c r="Z189" s="18"/>
      <c r="AA189" s="18"/>
      <c r="AB189" s="18"/>
    </row>
    <row r="190" spans="1:28">
      <c r="A190" s="51">
        <v>189</v>
      </c>
      <c r="B190" s="52"/>
      <c r="C190" s="61"/>
      <c r="D190" s="51"/>
      <c r="E190" s="51" t="s">
        <v>939</v>
      </c>
      <c r="F190" s="55" t="s">
        <v>940</v>
      </c>
      <c r="G190" s="56"/>
      <c r="H190" s="57"/>
      <c r="I190" s="51"/>
      <c r="J190" s="51">
        <f>4.6*1000</f>
        <v>4600</v>
      </c>
      <c r="K190" s="58">
        <v>1.5011574074074075E-2</v>
      </c>
      <c r="L190" s="59" t="s">
        <v>710</v>
      </c>
      <c r="M190" s="51"/>
      <c r="N190" s="51"/>
      <c r="O190" s="51"/>
      <c r="P190" s="51"/>
      <c r="Q190" s="37" t="str">
        <f t="shared" ca="1" si="0"/>
        <v/>
      </c>
      <c r="R190" s="52"/>
      <c r="S190" s="52"/>
      <c r="T190" s="52"/>
      <c r="U190" s="61"/>
      <c r="V190" s="62"/>
      <c r="W190" s="63"/>
      <c r="X190" s="64"/>
      <c r="Y190" s="18"/>
      <c r="Z190" s="18"/>
      <c r="AA190" s="18"/>
      <c r="AB190" s="18"/>
    </row>
    <row r="191" spans="1:28">
      <c r="A191" s="51">
        <v>190</v>
      </c>
      <c r="B191" s="52"/>
      <c r="C191" s="61"/>
      <c r="D191" s="51"/>
      <c r="E191" s="51" t="s">
        <v>941</v>
      </c>
      <c r="F191" s="55" t="s">
        <v>942</v>
      </c>
      <c r="G191" s="56"/>
      <c r="H191" s="57"/>
      <c r="I191" s="51"/>
      <c r="J191" s="51">
        <f>3.7*1000</f>
        <v>3700</v>
      </c>
      <c r="K191" s="58">
        <v>3.1631944444444442E-2</v>
      </c>
      <c r="L191" s="59" t="s">
        <v>710</v>
      </c>
      <c r="M191" s="51"/>
      <c r="N191" s="51"/>
      <c r="O191" s="51"/>
      <c r="P191" s="51"/>
      <c r="Q191" s="37" t="str">
        <f t="shared" ca="1" si="0"/>
        <v/>
      </c>
      <c r="R191" s="52"/>
      <c r="S191" s="52"/>
      <c r="T191" s="52"/>
      <c r="U191" s="61"/>
      <c r="V191" s="62"/>
      <c r="W191" s="63"/>
      <c r="X191" s="64"/>
      <c r="Y191" s="18"/>
      <c r="Z191" s="18"/>
      <c r="AA191" s="18"/>
      <c r="AB191" s="18"/>
    </row>
    <row r="192" spans="1:28">
      <c r="A192" s="51">
        <v>191</v>
      </c>
      <c r="B192" s="52"/>
      <c r="C192" s="61"/>
      <c r="D192" s="51"/>
      <c r="E192" s="51" t="s">
        <v>945</v>
      </c>
      <c r="F192" s="55" t="s">
        <v>946</v>
      </c>
      <c r="G192" s="56"/>
      <c r="H192" s="57"/>
      <c r="I192" s="51"/>
      <c r="J192" s="51">
        <f>9.4*1000</f>
        <v>9400</v>
      </c>
      <c r="K192" s="58">
        <v>4.0844907407407406E-2</v>
      </c>
      <c r="L192" s="59" t="s">
        <v>710</v>
      </c>
      <c r="M192" s="51"/>
      <c r="N192" s="51"/>
      <c r="O192" s="51"/>
      <c r="P192" s="51"/>
      <c r="Q192" s="37" t="str">
        <f t="shared" ca="1" si="0"/>
        <v/>
      </c>
      <c r="R192" s="52"/>
      <c r="S192" s="52"/>
      <c r="T192" s="52"/>
      <c r="U192" s="61"/>
      <c r="V192" s="62"/>
      <c r="W192" s="63"/>
      <c r="X192" s="64"/>
      <c r="Y192" s="18"/>
      <c r="Z192" s="18"/>
      <c r="AA192" s="18"/>
      <c r="AB192" s="18"/>
    </row>
    <row r="193" spans="1:28">
      <c r="A193" s="51">
        <v>192</v>
      </c>
      <c r="B193" s="52"/>
      <c r="C193" s="61"/>
      <c r="D193" s="51"/>
      <c r="E193" s="51" t="s">
        <v>949</v>
      </c>
      <c r="F193" s="55" t="s">
        <v>950</v>
      </c>
      <c r="G193" s="56"/>
      <c r="H193" s="57"/>
      <c r="I193" s="51"/>
      <c r="J193" s="51">
        <f>938</f>
        <v>938</v>
      </c>
      <c r="K193" s="58">
        <v>1.3541666666666667E-3</v>
      </c>
      <c r="L193" s="59" t="s">
        <v>710</v>
      </c>
      <c r="M193" s="51"/>
      <c r="N193" s="51"/>
      <c r="O193" s="51"/>
      <c r="P193" s="51"/>
      <c r="Q193" s="37" t="str">
        <f t="shared" ca="1" si="0"/>
        <v/>
      </c>
      <c r="R193" s="52"/>
      <c r="S193" s="52"/>
      <c r="T193" s="52"/>
      <c r="U193" s="61"/>
      <c r="V193" s="62"/>
      <c r="W193" s="63"/>
      <c r="X193" s="64"/>
      <c r="Y193" s="18"/>
      <c r="Z193" s="18"/>
      <c r="AA193" s="18"/>
      <c r="AB193" s="18"/>
    </row>
    <row r="194" spans="1:28">
      <c r="A194" s="51">
        <v>193</v>
      </c>
      <c r="B194" s="52"/>
      <c r="C194" s="61"/>
      <c r="D194" s="51"/>
      <c r="E194" s="51" t="s">
        <v>954</v>
      </c>
      <c r="F194" s="55" t="s">
        <v>955</v>
      </c>
      <c r="G194" s="56"/>
      <c r="H194" s="57"/>
      <c r="I194" s="51"/>
      <c r="J194" s="51">
        <f>1.8*1000</f>
        <v>1800</v>
      </c>
      <c r="K194" s="58">
        <v>9.9189814814814817E-3</v>
      </c>
      <c r="L194" s="59" t="s">
        <v>710</v>
      </c>
      <c r="M194" s="51"/>
      <c r="N194" s="51"/>
      <c r="O194" s="51"/>
      <c r="P194" s="51"/>
      <c r="Q194" s="37" t="str">
        <f t="shared" ca="1" si="0"/>
        <v/>
      </c>
      <c r="R194" s="52"/>
      <c r="S194" s="52"/>
      <c r="T194" s="52"/>
      <c r="U194" s="61"/>
      <c r="V194" s="62"/>
      <c r="W194" s="63"/>
      <c r="X194" s="64"/>
      <c r="Y194" s="18"/>
      <c r="Z194" s="18"/>
      <c r="AA194" s="18"/>
      <c r="AB194" s="18"/>
    </row>
    <row r="195" spans="1:28">
      <c r="A195" s="51">
        <v>194</v>
      </c>
      <c r="B195" s="52"/>
      <c r="C195" s="61"/>
      <c r="D195" s="51"/>
      <c r="E195" s="51" t="s">
        <v>960</v>
      </c>
      <c r="F195" s="55" t="s">
        <v>961</v>
      </c>
      <c r="G195" s="56"/>
      <c r="H195" s="57"/>
      <c r="I195" s="51"/>
      <c r="J195" s="51">
        <f>4.4*1000</f>
        <v>4400</v>
      </c>
      <c r="K195" s="58">
        <v>2.5416666666666667E-2</v>
      </c>
      <c r="L195" s="59" t="s">
        <v>710</v>
      </c>
      <c r="M195" s="51"/>
      <c r="N195" s="51"/>
      <c r="O195" s="51"/>
      <c r="P195" s="51"/>
      <c r="Q195" s="37" t="str">
        <f t="shared" ca="1" si="0"/>
        <v/>
      </c>
      <c r="R195" s="52"/>
      <c r="S195" s="52"/>
      <c r="T195" s="52"/>
      <c r="U195" s="61"/>
      <c r="V195" s="62"/>
      <c r="W195" s="63"/>
      <c r="X195" s="64"/>
      <c r="Y195" s="18"/>
      <c r="Z195" s="18"/>
      <c r="AA195" s="18"/>
      <c r="AB195" s="18"/>
    </row>
    <row r="196" spans="1:28">
      <c r="A196" s="51">
        <v>195</v>
      </c>
      <c r="B196" s="52"/>
      <c r="C196" s="61"/>
      <c r="D196" s="51"/>
      <c r="E196" s="51" t="s">
        <v>964</v>
      </c>
      <c r="F196" s="55" t="s">
        <v>965</v>
      </c>
      <c r="G196" s="56"/>
      <c r="H196" s="57"/>
      <c r="I196" s="51"/>
      <c r="J196" s="51">
        <f t="shared" ref="J196:J197" si="4">1*1000</f>
        <v>1000</v>
      </c>
      <c r="K196" s="58">
        <v>4.7453703703703703E-3</v>
      </c>
      <c r="L196" s="59" t="s">
        <v>710</v>
      </c>
      <c r="M196" s="51"/>
      <c r="N196" s="51"/>
      <c r="O196" s="51"/>
      <c r="P196" s="51"/>
      <c r="Q196" s="37" t="str">
        <f t="shared" ca="1" si="0"/>
        <v/>
      </c>
      <c r="R196" s="52"/>
      <c r="S196" s="52"/>
      <c r="T196" s="52"/>
      <c r="U196" s="61"/>
      <c r="V196" s="62"/>
      <c r="W196" s="63"/>
      <c r="X196" s="64"/>
      <c r="Y196" s="18"/>
      <c r="Z196" s="18"/>
      <c r="AA196" s="18"/>
      <c r="AB196" s="18"/>
    </row>
    <row r="197" spans="1:28">
      <c r="A197" s="51">
        <v>196</v>
      </c>
      <c r="B197" s="52"/>
      <c r="C197" s="61"/>
      <c r="D197" s="51"/>
      <c r="E197" s="51" t="s">
        <v>968</v>
      </c>
      <c r="F197" s="55" t="s">
        <v>969</v>
      </c>
      <c r="G197" s="56"/>
      <c r="H197" s="57"/>
      <c r="I197" s="51"/>
      <c r="J197" s="51">
        <f t="shared" si="4"/>
        <v>1000</v>
      </c>
      <c r="K197" s="58">
        <v>3.0671296296296297E-3</v>
      </c>
      <c r="L197" s="59" t="s">
        <v>710</v>
      </c>
      <c r="M197" s="51"/>
      <c r="N197" s="51"/>
      <c r="O197" s="51"/>
      <c r="P197" s="51"/>
      <c r="Q197" s="37" t="str">
        <f t="shared" ca="1" si="0"/>
        <v/>
      </c>
      <c r="R197" s="52"/>
      <c r="S197" s="52"/>
      <c r="T197" s="52"/>
      <c r="U197" s="61"/>
      <c r="V197" s="62"/>
      <c r="W197" s="63"/>
      <c r="X197" s="64"/>
      <c r="Y197" s="18"/>
      <c r="Z197" s="18"/>
      <c r="AA197" s="18"/>
      <c r="AB197" s="18"/>
    </row>
    <row r="198" spans="1:28">
      <c r="A198" s="51">
        <v>197</v>
      </c>
      <c r="B198" s="52"/>
      <c r="C198" s="61"/>
      <c r="D198" s="51"/>
      <c r="E198" s="51" t="s">
        <v>970</v>
      </c>
      <c r="F198" s="55" t="s">
        <v>971</v>
      </c>
      <c r="G198" s="56"/>
      <c r="H198" s="57"/>
      <c r="I198" s="51"/>
      <c r="J198" s="51">
        <f>1.8*1000</f>
        <v>1800</v>
      </c>
      <c r="K198" s="58">
        <v>1.8750000000000001E-3</v>
      </c>
      <c r="L198" s="59" t="s">
        <v>710</v>
      </c>
      <c r="M198" s="51"/>
      <c r="N198" s="51"/>
      <c r="O198" s="51"/>
      <c r="P198" s="51"/>
      <c r="Q198" s="37" t="str">
        <f t="shared" ca="1" si="0"/>
        <v/>
      </c>
      <c r="R198" s="52"/>
      <c r="S198" s="52"/>
      <c r="T198" s="52"/>
      <c r="U198" s="61"/>
      <c r="V198" s="62"/>
      <c r="W198" s="63"/>
      <c r="X198" s="64"/>
      <c r="Y198" s="18"/>
      <c r="Z198" s="18"/>
      <c r="AA198" s="18"/>
      <c r="AB198" s="18"/>
    </row>
    <row r="199" spans="1:28">
      <c r="A199" s="51">
        <v>198</v>
      </c>
      <c r="B199" s="52"/>
      <c r="C199" s="61"/>
      <c r="D199" s="51"/>
      <c r="E199" s="51" t="s">
        <v>972</v>
      </c>
      <c r="F199" s="55" t="s">
        <v>973</v>
      </c>
      <c r="G199" s="56"/>
      <c r="H199" s="57"/>
      <c r="I199" s="51"/>
      <c r="J199" s="51">
        <f>2*1000</f>
        <v>2000</v>
      </c>
      <c r="K199" s="58">
        <v>8.819444444444444E-3</v>
      </c>
      <c r="L199" s="59" t="s">
        <v>710</v>
      </c>
      <c r="M199" s="51"/>
      <c r="N199" s="51"/>
      <c r="O199" s="51"/>
      <c r="P199" s="51"/>
      <c r="Q199" s="37" t="str">
        <f t="shared" ca="1" si="0"/>
        <v/>
      </c>
      <c r="R199" s="52"/>
      <c r="S199" s="52"/>
      <c r="T199" s="52"/>
      <c r="U199" s="61"/>
      <c r="V199" s="62"/>
      <c r="W199" s="63"/>
      <c r="X199" s="64"/>
      <c r="Y199" s="18"/>
      <c r="Z199" s="18"/>
      <c r="AA199" s="18"/>
      <c r="AB199" s="18"/>
    </row>
    <row r="200" spans="1:28">
      <c r="A200" s="51">
        <v>199</v>
      </c>
      <c r="B200" s="52"/>
      <c r="C200" s="61"/>
      <c r="D200" s="51"/>
      <c r="E200" s="51" t="s">
        <v>974</v>
      </c>
      <c r="F200" s="55" t="s">
        <v>975</v>
      </c>
      <c r="G200" s="56"/>
      <c r="H200" s="57"/>
      <c r="I200" s="51"/>
      <c r="J200" s="51">
        <f>3.1*1000</f>
        <v>3100</v>
      </c>
      <c r="K200" s="58">
        <v>8.9930555555555545E-3</v>
      </c>
      <c r="L200" s="59" t="s">
        <v>710</v>
      </c>
      <c r="M200" s="51"/>
      <c r="N200" s="51"/>
      <c r="O200" s="51"/>
      <c r="P200" s="51"/>
      <c r="Q200" s="37" t="str">
        <f t="shared" ca="1" si="0"/>
        <v/>
      </c>
      <c r="R200" s="52"/>
      <c r="S200" s="52"/>
      <c r="T200" s="52"/>
      <c r="U200" s="61"/>
      <c r="V200" s="62"/>
      <c r="W200" s="63"/>
      <c r="X200" s="64"/>
      <c r="Y200" s="18"/>
      <c r="Z200" s="18"/>
      <c r="AA200" s="18"/>
      <c r="AB200" s="18"/>
    </row>
    <row r="201" spans="1:28">
      <c r="A201" s="51">
        <v>200</v>
      </c>
      <c r="B201" s="52"/>
      <c r="C201" s="61"/>
      <c r="D201" s="51"/>
      <c r="E201" s="51" t="s">
        <v>976</v>
      </c>
      <c r="F201" s="55" t="s">
        <v>977</v>
      </c>
      <c r="G201" s="56"/>
      <c r="H201" s="57"/>
      <c r="I201" s="51"/>
      <c r="J201" s="51">
        <f>2.4*1000</f>
        <v>2400</v>
      </c>
      <c r="K201" s="58">
        <v>9.2592592592592605E-3</v>
      </c>
      <c r="L201" s="59" t="s">
        <v>710</v>
      </c>
      <c r="M201" s="51"/>
      <c r="N201" s="51"/>
      <c r="O201" s="51"/>
      <c r="P201" s="51"/>
      <c r="Q201" s="37" t="str">
        <f t="shared" ca="1" si="0"/>
        <v/>
      </c>
      <c r="R201" s="52"/>
      <c r="S201" s="52"/>
      <c r="T201" s="52"/>
      <c r="U201" s="61"/>
      <c r="V201" s="62"/>
      <c r="W201" s="63"/>
      <c r="X201" s="64"/>
      <c r="Y201" s="18"/>
      <c r="Z201" s="18"/>
      <c r="AA201" s="18"/>
      <c r="AB201" s="18"/>
    </row>
    <row r="202" spans="1:28">
      <c r="A202" s="51">
        <v>201</v>
      </c>
      <c r="B202" s="52"/>
      <c r="C202" s="61"/>
      <c r="D202" s="51"/>
      <c r="E202" s="51" t="s">
        <v>978</v>
      </c>
      <c r="F202" s="55" t="s">
        <v>979</v>
      </c>
      <c r="G202" s="56"/>
      <c r="H202" s="57"/>
      <c r="I202" s="51"/>
      <c r="J202" s="51">
        <f>8.1*1000</f>
        <v>8100</v>
      </c>
      <c r="K202" s="58">
        <v>2.6388888888888885E-3</v>
      </c>
      <c r="L202" s="59" t="s">
        <v>980</v>
      </c>
      <c r="M202" s="51"/>
      <c r="N202" s="51"/>
      <c r="O202" s="51"/>
      <c r="P202" s="51"/>
      <c r="Q202" s="37" t="str">
        <f t="shared" ca="1" si="0"/>
        <v/>
      </c>
      <c r="R202" s="52"/>
      <c r="S202" s="52"/>
      <c r="T202" s="52"/>
      <c r="U202" s="61"/>
      <c r="V202" s="62"/>
      <c r="W202" s="63"/>
      <c r="X202" s="64"/>
      <c r="Y202" s="18"/>
      <c r="Z202" s="18"/>
      <c r="AA202" s="18"/>
      <c r="AB202" s="18"/>
    </row>
    <row r="203" spans="1:28">
      <c r="A203" s="51">
        <v>202</v>
      </c>
      <c r="B203" s="52"/>
      <c r="C203" s="61"/>
      <c r="D203" s="51"/>
      <c r="E203" s="51" t="s">
        <v>981</v>
      </c>
      <c r="F203" s="55" t="s">
        <v>982</v>
      </c>
      <c r="G203" s="56"/>
      <c r="H203" s="57"/>
      <c r="I203" s="51"/>
      <c r="J203" s="51">
        <f>2.7*1000</f>
        <v>2700</v>
      </c>
      <c r="K203" s="58">
        <v>2.7199074074074074E-3</v>
      </c>
      <c r="L203" s="59" t="s">
        <v>980</v>
      </c>
      <c r="M203" s="51"/>
      <c r="N203" s="51"/>
      <c r="O203" s="51"/>
      <c r="P203" s="51"/>
      <c r="Q203" s="37" t="str">
        <f t="shared" ca="1" si="0"/>
        <v/>
      </c>
      <c r="R203" s="52"/>
      <c r="S203" s="52"/>
      <c r="T203" s="52"/>
      <c r="U203" s="61"/>
      <c r="V203" s="62"/>
      <c r="W203" s="63"/>
      <c r="X203" s="64"/>
      <c r="Y203" s="18"/>
      <c r="Z203" s="18"/>
      <c r="AA203" s="18"/>
      <c r="AB203" s="18"/>
    </row>
    <row r="204" spans="1:28">
      <c r="A204" s="51">
        <v>203</v>
      </c>
      <c r="B204" s="52"/>
      <c r="C204" s="61"/>
      <c r="D204" s="51"/>
      <c r="E204" s="51" t="s">
        <v>983</v>
      </c>
      <c r="F204" s="55" t="s">
        <v>984</v>
      </c>
      <c r="G204" s="56"/>
      <c r="H204" s="57"/>
      <c r="I204" s="51"/>
      <c r="J204" s="51">
        <f>2.9*1000</f>
        <v>2900</v>
      </c>
      <c r="K204" s="58">
        <v>2.2800925925925927E-3</v>
      </c>
      <c r="L204" s="59" t="s">
        <v>980</v>
      </c>
      <c r="M204" s="51"/>
      <c r="N204" s="51"/>
      <c r="O204" s="51"/>
      <c r="P204" s="51"/>
      <c r="Q204" s="37" t="str">
        <f t="shared" ca="1" si="0"/>
        <v/>
      </c>
      <c r="R204" s="52"/>
      <c r="S204" s="52"/>
      <c r="T204" s="52"/>
      <c r="U204" s="61"/>
      <c r="V204" s="62"/>
      <c r="W204" s="63"/>
      <c r="X204" s="64"/>
      <c r="Y204" s="18"/>
      <c r="Z204" s="18"/>
      <c r="AA204" s="18"/>
      <c r="AB204" s="18"/>
    </row>
    <row r="205" spans="1:28">
      <c r="A205" s="51">
        <v>204</v>
      </c>
      <c r="B205" s="52"/>
      <c r="C205" s="61"/>
      <c r="D205" s="51"/>
      <c r="E205" s="51" t="s">
        <v>985</v>
      </c>
      <c r="F205" s="55" t="s">
        <v>986</v>
      </c>
      <c r="G205" s="56"/>
      <c r="H205" s="57"/>
      <c r="I205" s="51"/>
      <c r="J205" s="51">
        <f t="shared" ref="J205:J206" si="5">3.9*1000</f>
        <v>3900</v>
      </c>
      <c r="K205" s="58">
        <v>4.3518518518518515E-3</v>
      </c>
      <c r="L205" s="59" t="s">
        <v>980</v>
      </c>
      <c r="M205" s="51"/>
      <c r="N205" s="51"/>
      <c r="O205" s="51"/>
      <c r="P205" s="51"/>
      <c r="Q205" s="37" t="str">
        <f t="shared" ca="1" si="0"/>
        <v/>
      </c>
      <c r="R205" s="52"/>
      <c r="S205" s="52"/>
      <c r="T205" s="52"/>
      <c r="U205" s="61"/>
      <c r="V205" s="62"/>
      <c r="W205" s="63"/>
      <c r="X205" s="64"/>
      <c r="Y205" s="18"/>
      <c r="Z205" s="18"/>
      <c r="AA205" s="18"/>
      <c r="AB205" s="18"/>
    </row>
    <row r="206" spans="1:28">
      <c r="A206" s="51">
        <v>205</v>
      </c>
      <c r="B206" s="52"/>
      <c r="C206" s="61"/>
      <c r="D206" s="51"/>
      <c r="E206" s="51" t="s">
        <v>987</v>
      </c>
      <c r="F206" s="55" t="s">
        <v>988</v>
      </c>
      <c r="G206" s="56"/>
      <c r="H206" s="57"/>
      <c r="I206" s="51"/>
      <c r="J206" s="51">
        <f t="shared" si="5"/>
        <v>3900</v>
      </c>
      <c r="K206" s="58">
        <v>6.4930555555555549E-3</v>
      </c>
      <c r="L206" s="59" t="s">
        <v>980</v>
      </c>
      <c r="M206" s="51"/>
      <c r="N206" s="51"/>
      <c r="O206" s="51"/>
      <c r="P206" s="51"/>
      <c r="Q206" s="37" t="str">
        <f t="shared" ca="1" si="0"/>
        <v/>
      </c>
      <c r="R206" s="52"/>
      <c r="S206" s="52"/>
      <c r="T206" s="52"/>
      <c r="U206" s="61"/>
      <c r="V206" s="62"/>
      <c r="W206" s="63"/>
      <c r="X206" s="64"/>
      <c r="Y206" s="18"/>
      <c r="Z206" s="18"/>
      <c r="AA206" s="18"/>
      <c r="AB206" s="18"/>
    </row>
    <row r="207" spans="1:28">
      <c r="A207" s="51">
        <v>206</v>
      </c>
      <c r="B207" s="69"/>
      <c r="C207" s="61"/>
      <c r="D207" s="51"/>
      <c r="E207" s="51" t="s">
        <v>989</v>
      </c>
      <c r="F207" s="55" t="s">
        <v>990</v>
      </c>
      <c r="G207" s="56"/>
      <c r="H207" s="57"/>
      <c r="I207" s="51"/>
      <c r="J207" s="51">
        <f>4.4*1000</f>
        <v>4400</v>
      </c>
      <c r="K207" s="58">
        <v>9.2129629629629627E-3</v>
      </c>
      <c r="L207" s="59" t="s">
        <v>980</v>
      </c>
      <c r="M207" s="51"/>
      <c r="N207" s="51"/>
      <c r="O207" s="51"/>
      <c r="P207" s="51"/>
      <c r="Q207" s="37" t="str">
        <f t="shared" ca="1" si="0"/>
        <v/>
      </c>
      <c r="R207" s="52"/>
      <c r="S207" s="52"/>
      <c r="T207" s="52"/>
      <c r="U207" s="61"/>
      <c r="V207" s="62"/>
      <c r="W207" s="63"/>
      <c r="X207" s="64"/>
      <c r="Y207" s="18"/>
      <c r="Z207" s="18"/>
      <c r="AA207" s="18"/>
      <c r="AB207" s="18"/>
    </row>
    <row r="208" spans="1:28">
      <c r="A208" s="51">
        <v>207</v>
      </c>
      <c r="B208" s="52"/>
      <c r="C208" s="61"/>
      <c r="D208" s="51"/>
      <c r="E208" s="51" t="s">
        <v>991</v>
      </c>
      <c r="F208" s="55" t="s">
        <v>992</v>
      </c>
      <c r="G208" s="56"/>
      <c r="H208" s="57"/>
      <c r="I208" s="51"/>
      <c r="J208" s="51">
        <f>4.2*1000</f>
        <v>4200</v>
      </c>
      <c r="K208" s="58">
        <v>7.2337962962962963E-3</v>
      </c>
      <c r="L208" s="59" t="s">
        <v>980</v>
      </c>
      <c r="M208" s="51"/>
      <c r="N208" s="51"/>
      <c r="O208" s="51"/>
      <c r="P208" s="51"/>
      <c r="Q208" s="37" t="str">
        <f t="shared" ca="1" si="0"/>
        <v/>
      </c>
      <c r="R208" s="52"/>
      <c r="S208" s="52"/>
      <c r="T208" s="52"/>
      <c r="U208" s="61"/>
      <c r="V208" s="62"/>
      <c r="W208" s="63"/>
      <c r="X208" s="64"/>
      <c r="Y208" s="18"/>
      <c r="Z208" s="18"/>
      <c r="AA208" s="18"/>
      <c r="AB208" s="18"/>
    </row>
    <row r="209" spans="1:28">
      <c r="A209" s="51">
        <v>208</v>
      </c>
      <c r="B209" s="52"/>
      <c r="C209" s="61"/>
      <c r="D209" s="51"/>
      <c r="E209" s="51" t="s">
        <v>994</v>
      </c>
      <c r="F209" s="55" t="s">
        <v>995</v>
      </c>
      <c r="G209" s="56"/>
      <c r="H209" s="57"/>
      <c r="I209" s="51"/>
      <c r="J209" s="51">
        <f>1.9*1000</f>
        <v>1900</v>
      </c>
      <c r="K209" s="58">
        <v>4.3981481481481484E-3</v>
      </c>
      <c r="L209" s="59" t="s">
        <v>980</v>
      </c>
      <c r="M209" s="51"/>
      <c r="N209" s="51"/>
      <c r="O209" s="51"/>
      <c r="P209" s="51"/>
      <c r="Q209" s="37" t="str">
        <f t="shared" ca="1" si="0"/>
        <v/>
      </c>
      <c r="R209" s="52"/>
      <c r="S209" s="52"/>
      <c r="T209" s="52"/>
      <c r="U209" s="61"/>
      <c r="V209" s="62"/>
      <c r="W209" s="63"/>
      <c r="X209" s="64"/>
      <c r="Y209" s="18"/>
      <c r="Z209" s="18"/>
      <c r="AA209" s="18"/>
      <c r="AB209" s="18"/>
    </row>
    <row r="210" spans="1:28">
      <c r="A210" s="51">
        <v>209</v>
      </c>
      <c r="B210" s="52"/>
      <c r="C210" s="61"/>
      <c r="D210" s="51"/>
      <c r="E210" s="51" t="s">
        <v>996</v>
      </c>
      <c r="F210" s="55" t="s">
        <v>997</v>
      </c>
      <c r="G210" s="56"/>
      <c r="H210" s="57"/>
      <c r="I210" s="51"/>
      <c r="J210" s="51">
        <f>2.8*1000</f>
        <v>2800</v>
      </c>
      <c r="K210" s="58">
        <v>6.5393518518518517E-3</v>
      </c>
      <c r="L210" s="59" t="s">
        <v>980</v>
      </c>
      <c r="M210" s="51"/>
      <c r="N210" s="51"/>
      <c r="O210" s="51"/>
      <c r="P210" s="51"/>
      <c r="Q210" s="37" t="str">
        <f t="shared" ca="1" si="0"/>
        <v/>
      </c>
      <c r="R210" s="52"/>
      <c r="S210" s="52"/>
      <c r="T210" s="52"/>
      <c r="U210" s="61"/>
      <c r="V210" s="62"/>
      <c r="W210" s="63"/>
      <c r="X210" s="64"/>
      <c r="Y210" s="18"/>
      <c r="Z210" s="18"/>
      <c r="AA210" s="18"/>
      <c r="AB210" s="18"/>
    </row>
    <row r="211" spans="1:28">
      <c r="A211" s="51">
        <v>210</v>
      </c>
      <c r="B211" s="52"/>
      <c r="C211" s="61"/>
      <c r="D211" s="51"/>
      <c r="E211" s="51" t="s">
        <v>998</v>
      </c>
      <c r="F211" s="55" t="s">
        <v>999</v>
      </c>
      <c r="G211" s="56"/>
      <c r="H211" s="57"/>
      <c r="I211" s="51"/>
      <c r="J211" s="51">
        <f>1.3*1000</f>
        <v>1300</v>
      </c>
      <c r="K211" s="58">
        <v>3.2175925925925926E-3</v>
      </c>
      <c r="L211" s="59" t="s">
        <v>980</v>
      </c>
      <c r="M211" s="51"/>
      <c r="N211" s="51"/>
      <c r="O211" s="51"/>
      <c r="P211" s="51"/>
      <c r="Q211" s="37" t="str">
        <f t="shared" ca="1" si="0"/>
        <v/>
      </c>
      <c r="R211" s="52"/>
      <c r="S211" s="52"/>
      <c r="T211" s="52"/>
      <c r="U211" s="61"/>
      <c r="V211" s="62"/>
      <c r="W211" s="63"/>
      <c r="X211" s="64"/>
      <c r="Y211" s="18"/>
      <c r="Z211" s="18"/>
      <c r="AA211" s="18"/>
      <c r="AB211" s="18"/>
    </row>
    <row r="212" spans="1:28">
      <c r="A212" s="51">
        <v>211</v>
      </c>
      <c r="B212" s="52"/>
      <c r="C212" s="61"/>
      <c r="D212" s="51"/>
      <c r="E212" s="51" t="s">
        <v>1000</v>
      </c>
      <c r="F212" s="55" t="s">
        <v>1001</v>
      </c>
      <c r="G212" s="56"/>
      <c r="H212" s="57"/>
      <c r="I212" s="51"/>
      <c r="J212" s="51">
        <f>8.7*1000</f>
        <v>8700</v>
      </c>
      <c r="K212" s="58">
        <v>1.3078703703703703E-2</v>
      </c>
      <c r="L212" s="59" t="s">
        <v>980</v>
      </c>
      <c r="M212" s="51"/>
      <c r="N212" s="51"/>
      <c r="O212" s="51"/>
      <c r="P212" s="51"/>
      <c r="Q212" s="37" t="str">
        <f t="shared" ca="1" si="0"/>
        <v/>
      </c>
      <c r="R212" s="52"/>
      <c r="S212" s="52"/>
      <c r="T212" s="52"/>
      <c r="U212" s="61"/>
      <c r="V212" s="62"/>
      <c r="W212" s="63"/>
      <c r="X212" s="64"/>
      <c r="Y212" s="18"/>
      <c r="Z212" s="18"/>
      <c r="AA212" s="18"/>
      <c r="AB212" s="18"/>
    </row>
    <row r="213" spans="1:28">
      <c r="A213" s="51">
        <v>212</v>
      </c>
      <c r="B213" s="52"/>
      <c r="C213" s="61"/>
      <c r="D213" s="51"/>
      <c r="E213" s="51" t="s">
        <v>1002</v>
      </c>
      <c r="F213" s="55" t="s">
        <v>1003</v>
      </c>
      <c r="G213" s="56"/>
      <c r="H213" s="57"/>
      <c r="I213" s="51"/>
      <c r="J213" s="51">
        <f>2.4*1000</f>
        <v>2400</v>
      </c>
      <c r="K213" s="58">
        <v>8.0092592592592594E-3</v>
      </c>
      <c r="L213" s="59" t="s">
        <v>980</v>
      </c>
      <c r="M213" s="51"/>
      <c r="N213" s="51"/>
      <c r="O213" s="51"/>
      <c r="P213" s="51"/>
      <c r="Q213" s="37" t="str">
        <f t="shared" ca="1" si="0"/>
        <v/>
      </c>
      <c r="R213" s="52"/>
      <c r="S213" s="52"/>
      <c r="T213" s="52"/>
      <c r="U213" s="61"/>
      <c r="V213" s="62"/>
      <c r="W213" s="63"/>
      <c r="X213" s="64"/>
      <c r="Y213" s="18"/>
      <c r="Z213" s="18"/>
      <c r="AA213" s="18"/>
      <c r="AB213" s="18"/>
    </row>
    <row r="214" spans="1:28">
      <c r="A214" s="51">
        <v>213</v>
      </c>
      <c r="B214" s="52"/>
      <c r="C214" s="61"/>
      <c r="D214" s="51"/>
      <c r="E214" s="51" t="s">
        <v>1004</v>
      </c>
      <c r="F214" s="55" t="s">
        <v>1005</v>
      </c>
      <c r="G214" s="56"/>
      <c r="H214" s="57"/>
      <c r="I214" s="51"/>
      <c r="J214" s="51">
        <f>2.8*1000</f>
        <v>2800</v>
      </c>
      <c r="K214" s="58">
        <v>2.5462962962962961E-3</v>
      </c>
      <c r="L214" s="59" t="s">
        <v>980</v>
      </c>
      <c r="M214" s="51"/>
      <c r="N214" s="51"/>
      <c r="O214" s="51"/>
      <c r="P214" s="51"/>
      <c r="Q214" s="37" t="str">
        <f t="shared" ca="1" si="0"/>
        <v/>
      </c>
      <c r="R214" s="52"/>
      <c r="S214" s="52"/>
      <c r="T214" s="52"/>
      <c r="U214" s="61"/>
      <c r="V214" s="62"/>
      <c r="W214" s="63"/>
      <c r="X214" s="64"/>
      <c r="Y214" s="18"/>
      <c r="Z214" s="18"/>
      <c r="AA214" s="18"/>
      <c r="AB214" s="18"/>
    </row>
    <row r="215" spans="1:28">
      <c r="A215" s="51">
        <v>214</v>
      </c>
      <c r="B215" s="52"/>
      <c r="C215" s="61"/>
      <c r="D215" s="51"/>
      <c r="E215" s="51" t="s">
        <v>1006</v>
      </c>
      <c r="F215" s="55" t="s">
        <v>1007</v>
      </c>
      <c r="G215" s="56"/>
      <c r="H215" s="57"/>
      <c r="I215" s="51"/>
      <c r="J215" s="51">
        <f>8.1*1000</f>
        <v>8100</v>
      </c>
      <c r="K215" s="58">
        <v>2.9814814814814811E-2</v>
      </c>
      <c r="L215" s="59" t="s">
        <v>980</v>
      </c>
      <c r="M215" s="51"/>
      <c r="N215" s="51"/>
      <c r="O215" s="51"/>
      <c r="P215" s="51"/>
      <c r="Q215" s="37" t="str">
        <f t="shared" ca="1" si="0"/>
        <v/>
      </c>
      <c r="R215" s="52"/>
      <c r="S215" s="52"/>
      <c r="T215" s="52"/>
      <c r="U215" s="61"/>
      <c r="V215" s="62"/>
      <c r="W215" s="63"/>
      <c r="X215" s="64"/>
      <c r="Y215" s="18"/>
      <c r="Z215" s="18"/>
      <c r="AA215" s="18"/>
      <c r="AB215" s="18"/>
    </row>
    <row r="216" spans="1:28">
      <c r="A216" s="51">
        <v>215</v>
      </c>
      <c r="B216" s="52"/>
      <c r="C216" s="61"/>
      <c r="D216" s="51"/>
      <c r="E216" s="51" t="s">
        <v>1008</v>
      </c>
      <c r="F216" s="55" t="s">
        <v>1009</v>
      </c>
      <c r="G216" s="56"/>
      <c r="H216" s="57"/>
      <c r="I216" s="51"/>
      <c r="J216" s="51">
        <f>1.7*1000</f>
        <v>1700</v>
      </c>
      <c r="K216" s="58">
        <v>6.7939814814814816E-3</v>
      </c>
      <c r="L216" s="59" t="s">
        <v>980</v>
      </c>
      <c r="M216" s="51"/>
      <c r="N216" s="51"/>
      <c r="O216" s="51"/>
      <c r="P216" s="51"/>
      <c r="Q216" s="37" t="str">
        <f t="shared" ca="1" si="0"/>
        <v/>
      </c>
      <c r="R216" s="52"/>
      <c r="S216" s="52"/>
      <c r="T216" s="52"/>
      <c r="U216" s="61"/>
      <c r="V216" s="62"/>
      <c r="W216" s="63"/>
      <c r="X216" s="64"/>
      <c r="Y216" s="18"/>
      <c r="Z216" s="18"/>
      <c r="AA216" s="18"/>
      <c r="AB216" s="18"/>
    </row>
    <row r="217" spans="1:28">
      <c r="A217" s="51">
        <v>216</v>
      </c>
      <c r="B217" s="52"/>
      <c r="C217" s="61"/>
      <c r="D217" s="51"/>
      <c r="E217" s="51" t="s">
        <v>1010</v>
      </c>
      <c r="F217" s="55" t="s">
        <v>1011</v>
      </c>
      <c r="G217" s="56"/>
      <c r="H217" s="57"/>
      <c r="I217" s="51"/>
      <c r="J217" s="51">
        <f>3.9*1000</f>
        <v>3900</v>
      </c>
      <c r="K217" s="58">
        <v>3.0902777777777782E-3</v>
      </c>
      <c r="L217" s="59" t="s">
        <v>980</v>
      </c>
      <c r="M217" s="51"/>
      <c r="N217" s="51"/>
      <c r="O217" s="51"/>
      <c r="P217" s="51"/>
      <c r="Q217" s="37" t="str">
        <f t="shared" ca="1" si="0"/>
        <v/>
      </c>
      <c r="R217" s="52"/>
      <c r="S217" s="52"/>
      <c r="T217" s="52"/>
      <c r="U217" s="61"/>
      <c r="V217" s="62"/>
      <c r="W217" s="63"/>
      <c r="X217" s="64"/>
      <c r="Y217" s="18"/>
      <c r="Z217" s="18"/>
      <c r="AA217" s="18"/>
      <c r="AB217" s="18"/>
    </row>
    <row r="218" spans="1:28">
      <c r="A218" s="51">
        <v>217</v>
      </c>
      <c r="B218" s="52"/>
      <c r="C218" s="61"/>
      <c r="D218" s="51"/>
      <c r="E218" s="51" t="s">
        <v>1012</v>
      </c>
      <c r="F218" s="55" t="s">
        <v>1013</v>
      </c>
      <c r="G218" s="56"/>
      <c r="H218" s="57"/>
      <c r="I218" s="51"/>
      <c r="J218" s="51">
        <f>254</f>
        <v>254</v>
      </c>
      <c r="K218" s="58">
        <v>2.7314814814814819E-3</v>
      </c>
      <c r="L218" s="59" t="s">
        <v>980</v>
      </c>
      <c r="M218" s="51"/>
      <c r="N218" s="51"/>
      <c r="O218" s="51"/>
      <c r="P218" s="51"/>
      <c r="Q218" s="37" t="str">
        <f t="shared" ca="1" si="0"/>
        <v/>
      </c>
      <c r="R218" s="52"/>
      <c r="S218" s="52"/>
      <c r="T218" s="52"/>
      <c r="U218" s="61"/>
      <c r="V218" s="62"/>
      <c r="W218" s="63"/>
      <c r="X218" s="64"/>
      <c r="Y218" s="18"/>
      <c r="Z218" s="18"/>
      <c r="AA218" s="18"/>
      <c r="AB218" s="18"/>
    </row>
    <row r="219" spans="1:28">
      <c r="A219" s="51">
        <v>218</v>
      </c>
      <c r="B219" s="52"/>
      <c r="C219" s="61"/>
      <c r="D219" s="51"/>
      <c r="E219" s="51" t="s">
        <v>1014</v>
      </c>
      <c r="F219" s="55" t="s">
        <v>1015</v>
      </c>
      <c r="G219" s="56"/>
      <c r="H219" s="57"/>
      <c r="I219" s="51"/>
      <c r="J219" s="51">
        <f>10*1000</f>
        <v>10000</v>
      </c>
      <c r="K219" s="58">
        <v>1.8865740740740742E-2</v>
      </c>
      <c r="L219" s="59" t="s">
        <v>980</v>
      </c>
      <c r="M219" s="51"/>
      <c r="N219" s="51"/>
      <c r="O219" s="51"/>
      <c r="P219" s="51"/>
      <c r="Q219" s="37" t="str">
        <f t="shared" ca="1" si="0"/>
        <v/>
      </c>
      <c r="R219" s="52"/>
      <c r="S219" s="52"/>
      <c r="T219" s="52"/>
      <c r="U219" s="61"/>
      <c r="V219" s="62"/>
      <c r="W219" s="63"/>
      <c r="X219" s="64"/>
      <c r="Y219" s="18"/>
      <c r="Z219" s="18"/>
      <c r="AA219" s="18"/>
      <c r="AB219" s="18"/>
    </row>
    <row r="220" spans="1:28">
      <c r="A220" s="51">
        <v>219</v>
      </c>
      <c r="B220" s="52"/>
      <c r="C220" s="61"/>
      <c r="D220" s="51"/>
      <c r="E220" s="51" t="s">
        <v>1016</v>
      </c>
      <c r="F220" s="55" t="s">
        <v>1017</v>
      </c>
      <c r="G220" s="56"/>
      <c r="H220" s="57"/>
      <c r="I220" s="51"/>
      <c r="J220" s="51">
        <f>7.8*1000</f>
        <v>7800</v>
      </c>
      <c r="K220" s="58">
        <v>2.5567129629629634E-2</v>
      </c>
      <c r="L220" s="59" t="s">
        <v>980</v>
      </c>
      <c r="M220" s="51"/>
      <c r="N220" s="51"/>
      <c r="O220" s="51"/>
      <c r="P220" s="51"/>
      <c r="Q220" s="37" t="str">
        <f t="shared" ca="1" si="0"/>
        <v/>
      </c>
      <c r="R220" s="52"/>
      <c r="S220" s="52"/>
      <c r="T220" s="52"/>
      <c r="U220" s="61"/>
      <c r="V220" s="62"/>
      <c r="W220" s="63"/>
      <c r="X220" s="64"/>
      <c r="Y220" s="18"/>
      <c r="Z220" s="18"/>
      <c r="AA220" s="18"/>
      <c r="AB220" s="18"/>
    </row>
    <row r="221" spans="1:28">
      <c r="A221" s="51">
        <v>220</v>
      </c>
      <c r="B221" s="52"/>
      <c r="C221" s="61"/>
      <c r="D221" s="51"/>
      <c r="E221" s="51" t="s">
        <v>1018</v>
      </c>
      <c r="F221" s="55" t="s">
        <v>1019</v>
      </c>
      <c r="G221" s="56"/>
      <c r="H221" s="57"/>
      <c r="I221" s="51"/>
      <c r="J221" s="51">
        <f>499</f>
        <v>499</v>
      </c>
      <c r="K221" s="58">
        <v>1.2291666666666666E-2</v>
      </c>
      <c r="L221" s="59" t="s">
        <v>980</v>
      </c>
      <c r="M221" s="51"/>
      <c r="N221" s="51"/>
      <c r="O221" s="51"/>
      <c r="P221" s="51"/>
      <c r="Q221" s="37" t="str">
        <f t="shared" ca="1" si="0"/>
        <v/>
      </c>
      <c r="R221" s="52"/>
      <c r="S221" s="52"/>
      <c r="T221" s="52"/>
      <c r="U221" s="61"/>
      <c r="V221" s="62"/>
      <c r="W221" s="63"/>
      <c r="X221" s="64"/>
      <c r="Y221" s="18"/>
      <c r="Z221" s="18"/>
      <c r="AA221" s="18"/>
      <c r="AB221" s="18"/>
    </row>
    <row r="222" spans="1:28">
      <c r="A222" s="51">
        <v>221</v>
      </c>
      <c r="B222" s="52"/>
      <c r="C222" s="61"/>
      <c r="D222" s="51"/>
      <c r="E222" s="51" t="s">
        <v>1020</v>
      </c>
      <c r="F222" s="55" t="s">
        <v>1021</v>
      </c>
      <c r="G222" s="56"/>
      <c r="H222" s="57"/>
      <c r="I222" s="51"/>
      <c r="J222" s="51">
        <f>2.6*1000</f>
        <v>2600</v>
      </c>
      <c r="K222" s="58">
        <v>2.2916666666666667E-3</v>
      </c>
      <c r="L222" s="59" t="s">
        <v>980</v>
      </c>
      <c r="M222" s="51"/>
      <c r="N222" s="51"/>
      <c r="O222" s="51"/>
      <c r="P222" s="51"/>
      <c r="Q222" s="37" t="str">
        <f t="shared" ca="1" si="0"/>
        <v/>
      </c>
      <c r="R222" s="52"/>
      <c r="S222" s="52"/>
      <c r="T222" s="52"/>
      <c r="U222" s="61"/>
      <c r="V222" s="62"/>
      <c r="W222" s="63"/>
      <c r="X222" s="64"/>
      <c r="Y222" s="18"/>
      <c r="Z222" s="18"/>
      <c r="AA222" s="18"/>
      <c r="AB222" s="18"/>
    </row>
    <row r="223" spans="1:28">
      <c r="A223" s="51">
        <v>222</v>
      </c>
      <c r="B223" s="52"/>
      <c r="C223" s="61"/>
      <c r="D223" s="51"/>
      <c r="E223" s="51" t="s">
        <v>1022</v>
      </c>
      <c r="F223" s="55" t="s">
        <v>1023</v>
      </c>
      <c r="G223" s="56"/>
      <c r="H223" s="57"/>
      <c r="I223" s="51"/>
      <c r="J223" s="51">
        <f>1.1*1000</f>
        <v>1100</v>
      </c>
      <c r="K223" s="58">
        <v>4.155092592592593E-3</v>
      </c>
      <c r="L223" s="59" t="s">
        <v>980</v>
      </c>
      <c r="M223" s="51"/>
      <c r="N223" s="51"/>
      <c r="O223" s="51"/>
      <c r="P223" s="51"/>
      <c r="Q223" s="37" t="str">
        <f t="shared" ca="1" si="0"/>
        <v/>
      </c>
      <c r="R223" s="52"/>
      <c r="S223" s="52"/>
      <c r="T223" s="52"/>
      <c r="U223" s="61"/>
      <c r="V223" s="62"/>
      <c r="W223" s="63"/>
      <c r="X223" s="64"/>
      <c r="Y223" s="18"/>
      <c r="Z223" s="18"/>
      <c r="AA223" s="18"/>
      <c r="AB223" s="18"/>
    </row>
    <row r="224" spans="1:28">
      <c r="A224" s="51">
        <v>223</v>
      </c>
      <c r="B224" s="52"/>
      <c r="C224" s="61"/>
      <c r="D224" s="51"/>
      <c r="E224" s="51" t="s">
        <v>1024</v>
      </c>
      <c r="F224" s="55" t="s">
        <v>1025</v>
      </c>
      <c r="G224" s="56"/>
      <c r="H224" s="57"/>
      <c r="I224" s="51"/>
      <c r="J224" s="51">
        <f t="shared" ref="J224:J225" si="6">1.4*1000</f>
        <v>1400</v>
      </c>
      <c r="K224" s="58">
        <v>1.4814814814814814E-3</v>
      </c>
      <c r="L224" s="59" t="s">
        <v>980</v>
      </c>
      <c r="M224" s="51"/>
      <c r="N224" s="51"/>
      <c r="O224" s="51"/>
      <c r="P224" s="51"/>
      <c r="Q224" s="37" t="str">
        <f t="shared" ca="1" si="0"/>
        <v/>
      </c>
      <c r="R224" s="52"/>
      <c r="S224" s="52"/>
      <c r="T224" s="52"/>
      <c r="U224" s="61"/>
      <c r="V224" s="62"/>
      <c r="W224" s="63"/>
      <c r="X224" s="64"/>
      <c r="Y224" s="18"/>
      <c r="Z224" s="18"/>
      <c r="AA224" s="18"/>
      <c r="AB224" s="18"/>
    </row>
    <row r="225" spans="1:28">
      <c r="A225" s="51">
        <v>224</v>
      </c>
      <c r="B225" s="52"/>
      <c r="C225" s="61"/>
      <c r="D225" s="51"/>
      <c r="E225" s="51" t="s">
        <v>1026</v>
      </c>
      <c r="F225" s="55" t="s">
        <v>1027</v>
      </c>
      <c r="G225" s="56"/>
      <c r="H225" s="57"/>
      <c r="I225" s="51"/>
      <c r="J225" s="51">
        <f t="shared" si="6"/>
        <v>1400</v>
      </c>
      <c r="K225" s="58">
        <v>1.5740740740740741E-3</v>
      </c>
      <c r="L225" s="59" t="s">
        <v>980</v>
      </c>
      <c r="M225" s="51"/>
      <c r="N225" s="51"/>
      <c r="O225" s="51"/>
      <c r="P225" s="51"/>
      <c r="Q225" s="37" t="str">
        <f t="shared" ca="1" si="0"/>
        <v/>
      </c>
      <c r="R225" s="52"/>
      <c r="S225" s="52"/>
      <c r="T225" s="52"/>
      <c r="U225" s="61"/>
      <c r="V225" s="62"/>
      <c r="W225" s="63"/>
      <c r="X225" s="64"/>
      <c r="Y225" s="18"/>
      <c r="Z225" s="18"/>
      <c r="AA225" s="18"/>
      <c r="AB225" s="18"/>
    </row>
    <row r="226" spans="1:28">
      <c r="A226" s="51">
        <v>225</v>
      </c>
      <c r="B226" s="52"/>
      <c r="C226" s="61"/>
      <c r="D226" s="51"/>
      <c r="E226" s="51" t="s">
        <v>1028</v>
      </c>
      <c r="F226" s="55" t="s">
        <v>1029</v>
      </c>
      <c r="G226" s="56"/>
      <c r="H226" s="57"/>
      <c r="I226" s="51"/>
      <c r="J226" s="51">
        <f>3.6*1000</f>
        <v>3600</v>
      </c>
      <c r="K226" s="58">
        <v>7.3495370370370372E-3</v>
      </c>
      <c r="L226" s="59" t="s">
        <v>980</v>
      </c>
      <c r="M226" s="51"/>
      <c r="N226" s="51"/>
      <c r="O226" s="51"/>
      <c r="P226" s="51"/>
      <c r="Q226" s="37" t="str">
        <f t="shared" ca="1" si="0"/>
        <v/>
      </c>
      <c r="R226" s="52"/>
      <c r="S226" s="52"/>
      <c r="T226" s="52"/>
      <c r="U226" s="61"/>
      <c r="V226" s="62"/>
      <c r="W226" s="63"/>
      <c r="X226" s="64"/>
      <c r="Y226" s="18"/>
      <c r="Z226" s="18"/>
      <c r="AA226" s="18"/>
      <c r="AB226" s="18"/>
    </row>
    <row r="227" spans="1:28">
      <c r="A227" s="51">
        <v>226</v>
      </c>
      <c r="B227" s="52"/>
      <c r="C227" s="61"/>
      <c r="D227" s="51"/>
      <c r="E227" s="51" t="s">
        <v>1030</v>
      </c>
      <c r="F227" s="55" t="s">
        <v>1031</v>
      </c>
      <c r="G227" s="56"/>
      <c r="H227" s="57"/>
      <c r="I227" s="51"/>
      <c r="J227" s="51">
        <f>7.8*1000</f>
        <v>7800</v>
      </c>
      <c r="K227" s="58">
        <v>2.5925925925925925E-3</v>
      </c>
      <c r="L227" s="59" t="s">
        <v>980</v>
      </c>
      <c r="M227" s="51"/>
      <c r="N227" s="51"/>
      <c r="O227" s="51"/>
      <c r="P227" s="51"/>
      <c r="Q227" s="37" t="str">
        <f t="shared" ca="1" si="0"/>
        <v/>
      </c>
      <c r="R227" s="52"/>
      <c r="S227" s="52"/>
      <c r="T227" s="52"/>
      <c r="U227" s="61"/>
      <c r="V227" s="62"/>
      <c r="W227" s="63"/>
      <c r="X227" s="64"/>
      <c r="Y227" s="18"/>
      <c r="Z227" s="18"/>
      <c r="AA227" s="18"/>
      <c r="AB227" s="18"/>
    </row>
    <row r="228" spans="1:28">
      <c r="A228" s="51">
        <v>227</v>
      </c>
      <c r="B228" s="52"/>
      <c r="C228" s="61"/>
      <c r="D228" s="51"/>
      <c r="E228" s="51" t="s">
        <v>1032</v>
      </c>
      <c r="F228" s="55" t="s">
        <v>1033</v>
      </c>
      <c r="G228" s="56"/>
      <c r="H228" s="57"/>
      <c r="I228" s="51"/>
      <c r="J228" s="51">
        <f>489</f>
        <v>489</v>
      </c>
      <c r="K228" s="58">
        <v>4.4328703703703709E-3</v>
      </c>
      <c r="L228" s="59" t="s">
        <v>980</v>
      </c>
      <c r="M228" s="51"/>
      <c r="N228" s="51"/>
      <c r="O228" s="51"/>
      <c r="P228" s="51"/>
      <c r="Q228" s="37" t="str">
        <f t="shared" ca="1" si="0"/>
        <v/>
      </c>
      <c r="R228" s="52"/>
      <c r="S228" s="52"/>
      <c r="T228" s="52"/>
      <c r="U228" s="61"/>
      <c r="V228" s="62"/>
      <c r="W228" s="63"/>
      <c r="X228" s="64"/>
      <c r="Y228" s="18"/>
      <c r="Z228" s="18"/>
      <c r="AA228" s="18"/>
      <c r="AB228" s="18"/>
    </row>
    <row r="229" spans="1:28">
      <c r="A229" s="51">
        <v>228</v>
      </c>
      <c r="B229" s="52"/>
      <c r="C229" s="61"/>
      <c r="D229" s="51"/>
      <c r="E229" s="51" t="s">
        <v>1034</v>
      </c>
      <c r="F229" s="55" t="s">
        <v>1035</v>
      </c>
      <c r="G229" s="56"/>
      <c r="H229" s="57"/>
      <c r="I229" s="51"/>
      <c r="J229" s="51">
        <f>413</f>
        <v>413</v>
      </c>
      <c r="K229" s="58">
        <v>2.6388888888888885E-3</v>
      </c>
      <c r="L229" s="59" t="s">
        <v>980</v>
      </c>
      <c r="M229" s="51"/>
      <c r="N229" s="51"/>
      <c r="O229" s="51"/>
      <c r="P229" s="51"/>
      <c r="Q229" s="37" t="str">
        <f t="shared" ca="1" si="0"/>
        <v/>
      </c>
      <c r="R229" s="52"/>
      <c r="S229" s="52"/>
      <c r="T229" s="52"/>
      <c r="U229" s="61"/>
      <c r="V229" s="62"/>
      <c r="W229" s="63"/>
      <c r="X229" s="64"/>
      <c r="Y229" s="18"/>
      <c r="Z229" s="18"/>
      <c r="AA229" s="18"/>
      <c r="AB229" s="18"/>
    </row>
    <row r="230" spans="1:28">
      <c r="A230" s="51">
        <v>229</v>
      </c>
      <c r="B230" s="52"/>
      <c r="C230" s="61"/>
      <c r="D230" s="51"/>
      <c r="E230" s="51" t="s">
        <v>1036</v>
      </c>
      <c r="F230" s="55" t="s">
        <v>1037</v>
      </c>
      <c r="G230" s="56"/>
      <c r="H230" s="57"/>
      <c r="I230" s="51"/>
      <c r="J230" s="51">
        <f>11*1000</f>
        <v>11000</v>
      </c>
      <c r="K230" s="58">
        <v>3.4409722222222223E-2</v>
      </c>
      <c r="L230" s="59" t="s">
        <v>980</v>
      </c>
      <c r="M230" s="51"/>
      <c r="N230" s="51"/>
      <c r="O230" s="51"/>
      <c r="P230" s="51"/>
      <c r="Q230" s="37" t="str">
        <f t="shared" ca="1" si="0"/>
        <v/>
      </c>
      <c r="R230" s="52"/>
      <c r="S230" s="52"/>
      <c r="T230" s="52"/>
      <c r="U230" s="61"/>
      <c r="V230" s="62"/>
      <c r="W230" s="63"/>
      <c r="X230" s="64"/>
      <c r="Y230" s="18"/>
      <c r="Z230" s="18"/>
      <c r="AA230" s="18"/>
      <c r="AB230" s="18"/>
    </row>
    <row r="231" spans="1:28">
      <c r="A231" s="51">
        <v>230</v>
      </c>
      <c r="B231" s="52"/>
      <c r="C231" s="61"/>
      <c r="D231" s="51"/>
      <c r="E231" s="51" t="s">
        <v>1039</v>
      </c>
      <c r="F231" s="55" t="s">
        <v>1040</v>
      </c>
      <c r="G231" s="56"/>
      <c r="H231" s="57"/>
      <c r="I231" s="51"/>
      <c r="J231" s="51">
        <f>3.9*1000</f>
        <v>3900</v>
      </c>
      <c r="K231" s="58">
        <v>1.0289351851851852E-2</v>
      </c>
      <c r="L231" s="59" t="s">
        <v>980</v>
      </c>
      <c r="M231" s="51"/>
      <c r="N231" s="51"/>
      <c r="O231" s="51"/>
      <c r="P231" s="51"/>
      <c r="Q231" s="37" t="str">
        <f t="shared" ca="1" si="0"/>
        <v/>
      </c>
      <c r="R231" s="52"/>
      <c r="S231" s="52"/>
      <c r="T231" s="52"/>
      <c r="U231" s="61"/>
      <c r="V231" s="62"/>
      <c r="W231" s="63"/>
      <c r="X231" s="64"/>
      <c r="Y231" s="18"/>
      <c r="Z231" s="18"/>
      <c r="AA231" s="18"/>
      <c r="AB231" s="18"/>
    </row>
    <row r="232" spans="1:28">
      <c r="A232" s="51">
        <v>231</v>
      </c>
      <c r="B232" s="52"/>
      <c r="C232" s="61"/>
      <c r="D232" s="51"/>
      <c r="E232" s="51" t="s">
        <v>1041</v>
      </c>
      <c r="F232" s="55" t="s">
        <v>1042</v>
      </c>
      <c r="G232" s="56"/>
      <c r="H232" s="57"/>
      <c r="I232" s="51"/>
      <c r="J232" s="51">
        <f>2*1000</f>
        <v>2000</v>
      </c>
      <c r="K232" s="58">
        <v>1.136574074074074E-2</v>
      </c>
      <c r="L232" s="59" t="s">
        <v>980</v>
      </c>
      <c r="M232" s="51"/>
      <c r="N232" s="51"/>
      <c r="O232" s="51"/>
      <c r="P232" s="51"/>
      <c r="Q232" s="37" t="str">
        <f t="shared" ca="1" si="0"/>
        <v/>
      </c>
      <c r="R232" s="52"/>
      <c r="S232" s="52"/>
      <c r="T232" s="52"/>
      <c r="U232" s="61"/>
      <c r="V232" s="62"/>
      <c r="W232" s="63"/>
      <c r="X232" s="64"/>
      <c r="Y232" s="18"/>
      <c r="Z232" s="18"/>
      <c r="AA232" s="18"/>
      <c r="AB232" s="18"/>
    </row>
    <row r="233" spans="1:28">
      <c r="A233" s="51">
        <v>232</v>
      </c>
      <c r="B233" s="52"/>
      <c r="C233" s="61"/>
      <c r="D233" s="51"/>
      <c r="E233" s="51" t="s">
        <v>1043</v>
      </c>
      <c r="F233" s="55" t="s">
        <v>1044</v>
      </c>
      <c r="G233" s="56"/>
      <c r="H233" s="57"/>
      <c r="I233" s="51"/>
      <c r="J233" s="51">
        <f>769</f>
        <v>769</v>
      </c>
      <c r="K233" s="58">
        <v>8.3912037037037045E-3</v>
      </c>
      <c r="L233" s="59" t="s">
        <v>980</v>
      </c>
      <c r="M233" s="51"/>
      <c r="N233" s="51"/>
      <c r="O233" s="51"/>
      <c r="P233" s="51"/>
      <c r="Q233" s="37" t="str">
        <f t="shared" ca="1" si="0"/>
        <v/>
      </c>
      <c r="R233" s="52"/>
      <c r="S233" s="52"/>
      <c r="T233" s="52"/>
      <c r="U233" s="61"/>
      <c r="V233" s="62"/>
      <c r="W233" s="63"/>
      <c r="X233" s="64"/>
      <c r="Y233" s="18"/>
      <c r="Z233" s="18"/>
      <c r="AA233" s="18"/>
      <c r="AB233" s="18"/>
    </row>
    <row r="234" spans="1:28">
      <c r="A234" s="51">
        <v>233</v>
      </c>
      <c r="B234" s="52"/>
      <c r="C234" s="61"/>
      <c r="D234" s="51"/>
      <c r="E234" s="51" t="s">
        <v>1045</v>
      </c>
      <c r="F234" s="55" t="s">
        <v>1046</v>
      </c>
      <c r="G234" s="56"/>
      <c r="H234" s="57"/>
      <c r="I234" s="51"/>
      <c r="J234" s="51">
        <f>651</f>
        <v>651</v>
      </c>
      <c r="K234" s="58">
        <v>4.2361111111111106E-3</v>
      </c>
      <c r="L234" s="59" t="s">
        <v>980</v>
      </c>
      <c r="M234" s="51"/>
      <c r="N234" s="51"/>
      <c r="O234" s="51"/>
      <c r="P234" s="51"/>
      <c r="Q234" s="37" t="str">
        <f t="shared" ca="1" si="0"/>
        <v/>
      </c>
      <c r="R234" s="52"/>
      <c r="S234" s="52"/>
      <c r="T234" s="52"/>
      <c r="U234" s="61"/>
      <c r="V234" s="62"/>
      <c r="W234" s="63"/>
      <c r="X234" s="64"/>
      <c r="Y234" s="18"/>
      <c r="Z234" s="18"/>
      <c r="AA234" s="18"/>
      <c r="AB234" s="18"/>
    </row>
    <row r="235" spans="1:28">
      <c r="A235" s="51">
        <v>234</v>
      </c>
      <c r="B235" s="52"/>
      <c r="C235" s="61"/>
      <c r="D235" s="51"/>
      <c r="E235" s="51" t="s">
        <v>1047</v>
      </c>
      <c r="F235" s="55" t="s">
        <v>1048</v>
      </c>
      <c r="G235" s="56"/>
      <c r="H235" s="57"/>
      <c r="I235" s="51"/>
      <c r="J235" s="51">
        <f>957</f>
        <v>957</v>
      </c>
      <c r="K235" s="58">
        <v>2.6504629629629625E-3</v>
      </c>
      <c r="L235" s="59" t="s">
        <v>980</v>
      </c>
      <c r="M235" s="51"/>
      <c r="N235" s="51"/>
      <c r="O235" s="51"/>
      <c r="P235" s="51"/>
      <c r="Q235" s="37" t="str">
        <f t="shared" ca="1" si="0"/>
        <v/>
      </c>
      <c r="R235" s="52"/>
      <c r="S235" s="52"/>
      <c r="T235" s="52"/>
      <c r="U235" s="61"/>
      <c r="V235" s="62"/>
      <c r="W235" s="63"/>
      <c r="X235" s="64"/>
      <c r="Y235" s="18"/>
      <c r="Z235" s="18"/>
      <c r="AA235" s="18"/>
      <c r="AB235" s="18"/>
    </row>
    <row r="236" spans="1:28">
      <c r="A236" s="51">
        <v>235</v>
      </c>
      <c r="B236" s="52"/>
      <c r="C236" s="61"/>
      <c r="D236" s="51"/>
      <c r="E236" s="51" t="s">
        <v>1049</v>
      </c>
      <c r="F236" s="55" t="s">
        <v>1050</v>
      </c>
      <c r="G236" s="56"/>
      <c r="H236" s="57"/>
      <c r="I236" s="51"/>
      <c r="J236" s="51">
        <f>1.2*1000</f>
        <v>1200</v>
      </c>
      <c r="K236" s="58">
        <v>2.2685185185185182E-3</v>
      </c>
      <c r="L236" s="59" t="s">
        <v>980</v>
      </c>
      <c r="M236" s="51"/>
      <c r="N236" s="51"/>
      <c r="O236" s="51"/>
      <c r="P236" s="51"/>
      <c r="Q236" s="37" t="str">
        <f t="shared" ca="1" si="0"/>
        <v/>
      </c>
      <c r="R236" s="52"/>
      <c r="S236" s="52"/>
      <c r="T236" s="52"/>
      <c r="U236" s="61"/>
      <c r="V236" s="62"/>
      <c r="W236" s="63"/>
      <c r="X236" s="64"/>
      <c r="Y236" s="18"/>
      <c r="Z236" s="18"/>
      <c r="AA236" s="18"/>
      <c r="AB236" s="18"/>
    </row>
    <row r="237" spans="1:28">
      <c r="A237" s="51">
        <v>236</v>
      </c>
      <c r="B237" s="52"/>
      <c r="C237" s="61"/>
      <c r="D237" s="51"/>
      <c r="E237" s="51" t="s">
        <v>1051</v>
      </c>
      <c r="F237" s="55" t="s">
        <v>1052</v>
      </c>
      <c r="G237" s="56"/>
      <c r="H237" s="57"/>
      <c r="I237" s="51"/>
      <c r="J237" s="51">
        <f>895</f>
        <v>895</v>
      </c>
      <c r="K237" s="58">
        <v>3.5532407407407405E-3</v>
      </c>
      <c r="L237" s="59" t="s">
        <v>980</v>
      </c>
      <c r="M237" s="51"/>
      <c r="N237" s="51"/>
      <c r="O237" s="51"/>
      <c r="P237" s="51"/>
      <c r="Q237" s="37" t="str">
        <f t="shared" ca="1" si="0"/>
        <v/>
      </c>
      <c r="R237" s="52"/>
      <c r="S237" s="52"/>
      <c r="T237" s="52"/>
      <c r="U237" s="61"/>
      <c r="V237" s="62"/>
      <c r="W237" s="63"/>
      <c r="X237" s="64"/>
      <c r="Y237" s="18"/>
      <c r="Z237" s="18"/>
      <c r="AA237" s="18"/>
      <c r="AB237" s="18"/>
    </row>
    <row r="238" spans="1:28">
      <c r="A238" s="51">
        <v>237</v>
      </c>
      <c r="B238" s="52"/>
      <c r="C238" s="61"/>
      <c r="D238" s="51"/>
      <c r="E238" s="51" t="s">
        <v>1054</v>
      </c>
      <c r="F238" s="55" t="s">
        <v>1055</v>
      </c>
      <c r="G238" s="56"/>
      <c r="H238" s="57"/>
      <c r="I238" s="51"/>
      <c r="J238" s="51">
        <f>4.5*1000</f>
        <v>4500</v>
      </c>
      <c r="K238" s="58">
        <v>3.1932870370370368E-2</v>
      </c>
      <c r="L238" s="59" t="s">
        <v>980</v>
      </c>
      <c r="M238" s="51"/>
      <c r="N238" s="51"/>
      <c r="O238" s="51"/>
      <c r="P238" s="51"/>
      <c r="Q238" s="37" t="str">
        <f t="shared" ca="1" si="0"/>
        <v/>
      </c>
      <c r="R238" s="52"/>
      <c r="S238" s="52"/>
      <c r="T238" s="52"/>
      <c r="U238" s="61"/>
      <c r="V238" s="62"/>
      <c r="W238" s="63"/>
      <c r="X238" s="64"/>
      <c r="Y238" s="18"/>
      <c r="Z238" s="18"/>
      <c r="AA238" s="18"/>
      <c r="AB238" s="18"/>
    </row>
    <row r="239" spans="1:28">
      <c r="A239" s="51">
        <v>238</v>
      </c>
      <c r="B239" s="52"/>
      <c r="C239" s="61"/>
      <c r="D239" s="51"/>
      <c r="E239" s="51" t="s">
        <v>1056</v>
      </c>
      <c r="F239" s="55" t="s">
        <v>1057</v>
      </c>
      <c r="G239" s="56"/>
      <c r="H239" s="57"/>
      <c r="I239" s="51"/>
      <c r="J239" s="51">
        <f>1.6*1000</f>
        <v>1600</v>
      </c>
      <c r="K239" s="58">
        <v>2.627314814814815E-3</v>
      </c>
      <c r="L239" s="59" t="s">
        <v>980</v>
      </c>
      <c r="M239" s="51"/>
      <c r="N239" s="51"/>
      <c r="O239" s="51"/>
      <c r="P239" s="51"/>
      <c r="Q239" s="37" t="str">
        <f t="shared" ca="1" si="0"/>
        <v/>
      </c>
      <c r="R239" s="52"/>
      <c r="S239" s="52"/>
      <c r="T239" s="52"/>
      <c r="U239" s="61"/>
      <c r="V239" s="62"/>
      <c r="W239" s="63"/>
      <c r="X239" s="64"/>
      <c r="Y239" s="18"/>
      <c r="Z239" s="18"/>
      <c r="AA239" s="18"/>
      <c r="AB239" s="18"/>
    </row>
    <row r="240" spans="1:28">
      <c r="A240" s="51">
        <v>239</v>
      </c>
      <c r="B240" s="52"/>
      <c r="C240" s="61"/>
      <c r="D240" s="51"/>
      <c r="E240" s="51" t="s">
        <v>1058</v>
      </c>
      <c r="F240" s="55" t="s">
        <v>1059</v>
      </c>
      <c r="G240" s="56"/>
      <c r="H240" s="57"/>
      <c r="I240" s="51"/>
      <c r="J240" s="51">
        <f>825</f>
        <v>825</v>
      </c>
      <c r="K240" s="58">
        <v>2.2222222222222222E-3</v>
      </c>
      <c r="L240" s="59" t="s">
        <v>980</v>
      </c>
      <c r="M240" s="51"/>
      <c r="N240" s="51"/>
      <c r="O240" s="51"/>
      <c r="P240" s="51"/>
      <c r="Q240" s="37" t="str">
        <f t="shared" ca="1" si="0"/>
        <v/>
      </c>
      <c r="R240" s="52"/>
      <c r="S240" s="52"/>
      <c r="T240" s="52"/>
      <c r="U240" s="61"/>
      <c r="V240" s="62"/>
      <c r="W240" s="63"/>
      <c r="X240" s="64"/>
      <c r="Y240" s="18"/>
      <c r="Z240" s="18"/>
      <c r="AA240" s="18"/>
      <c r="AB240" s="18"/>
    </row>
    <row r="241" spans="1:28">
      <c r="A241" s="51">
        <v>240</v>
      </c>
      <c r="B241" s="52"/>
      <c r="C241" s="61"/>
      <c r="D241" s="51"/>
      <c r="E241" s="51" t="s">
        <v>1060</v>
      </c>
      <c r="F241" s="55" t="s">
        <v>1061</v>
      </c>
      <c r="G241" s="56"/>
      <c r="H241" s="57"/>
      <c r="I241" s="51"/>
      <c r="J241" s="51">
        <f>9.9*1000</f>
        <v>9900</v>
      </c>
      <c r="K241" s="58">
        <v>2.1689814814814815E-2</v>
      </c>
      <c r="L241" s="59" t="s">
        <v>980</v>
      </c>
      <c r="M241" s="51"/>
      <c r="N241" s="51"/>
      <c r="O241" s="51"/>
      <c r="P241" s="51"/>
      <c r="Q241" s="37" t="str">
        <f t="shared" ca="1" si="0"/>
        <v/>
      </c>
      <c r="R241" s="52"/>
      <c r="S241" s="52"/>
      <c r="T241" s="52"/>
      <c r="U241" s="61"/>
      <c r="V241" s="62"/>
      <c r="W241" s="63"/>
      <c r="X241" s="64"/>
      <c r="Y241" s="18"/>
      <c r="Z241" s="18"/>
      <c r="AA241" s="18"/>
      <c r="AB241" s="18"/>
    </row>
    <row r="242" spans="1:28">
      <c r="A242" s="51">
        <v>241</v>
      </c>
      <c r="B242" s="52"/>
      <c r="C242" s="61"/>
      <c r="D242" s="51"/>
      <c r="E242" s="51" t="s">
        <v>1062</v>
      </c>
      <c r="F242" s="55" t="s">
        <v>1063</v>
      </c>
      <c r="G242" s="56"/>
      <c r="H242" s="57"/>
      <c r="I242" s="51"/>
      <c r="J242" s="51">
        <f>906</f>
        <v>906</v>
      </c>
      <c r="K242" s="58">
        <v>1.3310185185185185E-3</v>
      </c>
      <c r="L242" s="59" t="s">
        <v>980</v>
      </c>
      <c r="M242" s="51"/>
      <c r="N242" s="51"/>
      <c r="O242" s="51"/>
      <c r="P242" s="51"/>
      <c r="Q242" s="37" t="str">
        <f t="shared" ca="1" si="0"/>
        <v/>
      </c>
      <c r="R242" s="52"/>
      <c r="S242" s="52"/>
      <c r="T242" s="52"/>
      <c r="U242" s="61"/>
      <c r="V242" s="62"/>
      <c r="W242" s="63"/>
      <c r="X242" s="64"/>
      <c r="Y242" s="18"/>
      <c r="Z242" s="18"/>
      <c r="AA242" s="18"/>
      <c r="AB242" s="18"/>
    </row>
    <row r="243" spans="1:28">
      <c r="A243" s="51">
        <v>242</v>
      </c>
      <c r="B243" s="52"/>
      <c r="C243" s="61"/>
      <c r="D243" s="51"/>
      <c r="E243" s="51" t="s">
        <v>1064</v>
      </c>
      <c r="F243" s="55" t="s">
        <v>1065</v>
      </c>
      <c r="G243" s="56"/>
      <c r="H243" s="57"/>
      <c r="I243" s="51"/>
      <c r="J243" s="51">
        <f>861</f>
        <v>861</v>
      </c>
      <c r="K243" s="58">
        <v>1.4699074074074074E-3</v>
      </c>
      <c r="L243" s="59" t="s">
        <v>980</v>
      </c>
      <c r="M243" s="51"/>
      <c r="N243" s="51"/>
      <c r="O243" s="51"/>
      <c r="P243" s="51"/>
      <c r="Q243" s="37" t="str">
        <f t="shared" ca="1" si="0"/>
        <v/>
      </c>
      <c r="R243" s="52"/>
      <c r="S243" s="52"/>
      <c r="T243" s="52"/>
      <c r="U243" s="61"/>
      <c r="V243" s="62"/>
      <c r="W243" s="63"/>
      <c r="X243" s="64"/>
      <c r="Y243" s="18"/>
      <c r="Z243" s="18"/>
      <c r="AA243" s="18"/>
      <c r="AB243" s="18"/>
    </row>
    <row r="244" spans="1:28">
      <c r="A244" s="51">
        <v>243</v>
      </c>
      <c r="B244" s="52"/>
      <c r="C244" s="61"/>
      <c r="D244" s="51"/>
      <c r="E244" s="51" t="s">
        <v>1066</v>
      </c>
      <c r="F244" s="55" t="s">
        <v>1067</v>
      </c>
      <c r="G244" s="56"/>
      <c r="H244" s="57"/>
      <c r="I244" s="51"/>
      <c r="J244" s="51">
        <f>1.2*1000</f>
        <v>1200</v>
      </c>
      <c r="K244" s="58">
        <v>2.8009259259259259E-3</v>
      </c>
      <c r="L244" s="59" t="s">
        <v>980</v>
      </c>
      <c r="M244" s="51"/>
      <c r="N244" s="51"/>
      <c r="O244" s="51"/>
      <c r="P244" s="51"/>
      <c r="Q244" s="37" t="str">
        <f t="shared" ca="1" si="0"/>
        <v/>
      </c>
      <c r="R244" s="52"/>
      <c r="S244" s="52"/>
      <c r="T244" s="52"/>
      <c r="U244" s="61"/>
      <c r="V244" s="62"/>
      <c r="W244" s="63"/>
      <c r="X244" s="64"/>
      <c r="Y244" s="18"/>
      <c r="Z244" s="18"/>
      <c r="AA244" s="18"/>
      <c r="AB244" s="18"/>
    </row>
    <row r="245" spans="1:28">
      <c r="A245" s="51">
        <v>244</v>
      </c>
      <c r="B245" s="52"/>
      <c r="C245" s="61"/>
      <c r="D245" s="51"/>
      <c r="E245" s="51" t="s">
        <v>1068</v>
      </c>
      <c r="F245" s="55" t="s">
        <v>1069</v>
      </c>
      <c r="G245" s="56"/>
      <c r="H245" s="57"/>
      <c r="I245" s="51"/>
      <c r="J245" s="51">
        <f>4*1000</f>
        <v>4000</v>
      </c>
      <c r="K245" s="58">
        <v>7.1874999999999994E-3</v>
      </c>
      <c r="L245" s="59" t="s">
        <v>980</v>
      </c>
      <c r="M245" s="51"/>
      <c r="N245" s="51"/>
      <c r="O245" s="51"/>
      <c r="P245" s="51"/>
      <c r="Q245" s="37" t="str">
        <f t="shared" ca="1" si="0"/>
        <v/>
      </c>
      <c r="R245" s="52"/>
      <c r="S245" s="52"/>
      <c r="T245" s="52"/>
      <c r="U245" s="61"/>
      <c r="V245" s="62"/>
      <c r="W245" s="63"/>
      <c r="X245" s="64"/>
      <c r="Y245" s="18"/>
      <c r="Z245" s="18"/>
      <c r="AA245" s="18"/>
      <c r="AB245" s="18"/>
    </row>
    <row r="246" spans="1:28">
      <c r="A246" s="51">
        <v>245</v>
      </c>
      <c r="B246" s="69" t="s">
        <v>127</v>
      </c>
      <c r="C246" s="61"/>
      <c r="D246" s="51"/>
      <c r="E246" s="51" t="s">
        <v>1070</v>
      </c>
      <c r="F246" s="55" t="s">
        <v>1071</v>
      </c>
      <c r="G246" s="56"/>
      <c r="H246" s="57"/>
      <c r="I246" s="51"/>
      <c r="J246" s="51">
        <f>11*1000</f>
        <v>11000</v>
      </c>
      <c r="K246" s="58">
        <v>3.3321759259259259E-2</v>
      </c>
      <c r="L246" s="59" t="s">
        <v>980</v>
      </c>
      <c r="M246" s="51"/>
      <c r="N246" s="51"/>
      <c r="O246" s="51"/>
      <c r="P246" s="51"/>
      <c r="Q246" s="37" t="str">
        <f t="shared" ca="1" si="0"/>
        <v/>
      </c>
      <c r="R246" s="52"/>
      <c r="S246" s="52"/>
      <c r="T246" s="52"/>
      <c r="U246" s="61"/>
      <c r="V246" s="62"/>
      <c r="W246" s="63"/>
      <c r="X246" s="64"/>
      <c r="Y246" s="18"/>
      <c r="Z246" s="18"/>
      <c r="AA246" s="18"/>
      <c r="AB246" s="18"/>
    </row>
    <row r="247" spans="1:28">
      <c r="A247" s="51">
        <v>246</v>
      </c>
      <c r="B247" s="52"/>
      <c r="C247" s="61"/>
      <c r="D247" s="51"/>
      <c r="E247" s="51" t="s">
        <v>1072</v>
      </c>
      <c r="F247" s="55" t="s">
        <v>1073</v>
      </c>
      <c r="G247" s="56"/>
      <c r="H247" s="57"/>
      <c r="I247" s="51"/>
      <c r="J247" s="51">
        <f>2.4*1000</f>
        <v>2400</v>
      </c>
      <c r="K247" s="58">
        <v>3.6226851851851854E-3</v>
      </c>
      <c r="L247" s="59" t="s">
        <v>980</v>
      </c>
      <c r="M247" s="51"/>
      <c r="N247" s="51"/>
      <c r="O247" s="51"/>
      <c r="P247" s="51"/>
      <c r="Q247" s="37" t="str">
        <f t="shared" ca="1" si="0"/>
        <v/>
      </c>
      <c r="R247" s="52"/>
      <c r="S247" s="52"/>
      <c r="T247" s="52"/>
      <c r="U247" s="61"/>
      <c r="V247" s="62"/>
      <c r="W247" s="63"/>
      <c r="X247" s="64"/>
      <c r="Y247" s="18"/>
      <c r="Z247" s="18"/>
      <c r="AA247" s="18"/>
      <c r="AB247" s="18"/>
    </row>
    <row r="248" spans="1:28">
      <c r="A248" s="51">
        <v>247</v>
      </c>
      <c r="B248" s="52"/>
      <c r="C248" s="61"/>
      <c r="D248" s="51"/>
      <c r="E248" s="51" t="s">
        <v>1074</v>
      </c>
      <c r="F248" s="55" t="s">
        <v>1075</v>
      </c>
      <c r="G248" s="56"/>
      <c r="H248" s="57"/>
      <c r="I248" s="51"/>
      <c r="J248" s="51">
        <f>329</f>
        <v>329</v>
      </c>
      <c r="K248" s="58">
        <v>1.7592592592592592E-3</v>
      </c>
      <c r="L248" s="59" t="s">
        <v>980</v>
      </c>
      <c r="M248" s="51"/>
      <c r="N248" s="51"/>
      <c r="O248" s="51"/>
      <c r="P248" s="51"/>
      <c r="Q248" s="37" t="str">
        <f t="shared" ca="1" si="0"/>
        <v/>
      </c>
      <c r="R248" s="52"/>
      <c r="S248" s="52"/>
      <c r="T248" s="52"/>
      <c r="U248" s="61"/>
      <c r="V248" s="62"/>
      <c r="W248" s="63"/>
      <c r="X248" s="64"/>
      <c r="Y248" s="18"/>
      <c r="Z248" s="18"/>
      <c r="AA248" s="18"/>
      <c r="AB248" s="18"/>
    </row>
    <row r="249" spans="1:28">
      <c r="A249" s="51">
        <v>248</v>
      </c>
      <c r="B249" s="52"/>
      <c r="C249" s="61"/>
      <c r="D249" s="51"/>
      <c r="E249" s="51" t="s">
        <v>1076</v>
      </c>
      <c r="F249" s="55" t="s">
        <v>1077</v>
      </c>
      <c r="G249" s="56"/>
      <c r="H249" s="57"/>
      <c r="I249" s="51"/>
      <c r="J249" s="51">
        <f>6.2*1000</f>
        <v>6200</v>
      </c>
      <c r="K249" s="58">
        <v>2.4016203703703706E-2</v>
      </c>
      <c r="L249" s="59" t="s">
        <v>980</v>
      </c>
      <c r="M249" s="51"/>
      <c r="N249" s="51"/>
      <c r="O249" s="51"/>
      <c r="P249" s="51"/>
      <c r="Q249" s="37" t="str">
        <f t="shared" ca="1" si="0"/>
        <v/>
      </c>
      <c r="R249" s="52"/>
      <c r="S249" s="52"/>
      <c r="T249" s="52"/>
      <c r="U249" s="61"/>
      <c r="V249" s="62"/>
      <c r="W249" s="63"/>
      <c r="X249" s="64"/>
      <c r="Y249" s="18"/>
      <c r="Z249" s="18"/>
      <c r="AA249" s="18"/>
      <c r="AB249" s="18"/>
    </row>
    <row r="250" spans="1:28">
      <c r="A250" s="51">
        <v>249</v>
      </c>
      <c r="B250" s="52"/>
      <c r="C250" s="61"/>
      <c r="D250" s="51"/>
      <c r="E250" s="51" t="s">
        <v>1078</v>
      </c>
      <c r="F250" s="55" t="s">
        <v>1079</v>
      </c>
      <c r="G250" s="56"/>
      <c r="H250" s="57"/>
      <c r="I250" s="51"/>
      <c r="J250" s="51">
        <f>8.7*1000</f>
        <v>8700</v>
      </c>
      <c r="K250" s="58">
        <v>2.3807870370370368E-2</v>
      </c>
      <c r="L250" s="59" t="s">
        <v>980</v>
      </c>
      <c r="M250" s="51"/>
      <c r="N250" s="51"/>
      <c r="O250" s="51"/>
      <c r="P250" s="51"/>
      <c r="Q250" s="37" t="str">
        <f t="shared" ca="1" si="0"/>
        <v/>
      </c>
      <c r="R250" s="52"/>
      <c r="S250" s="52"/>
      <c r="T250" s="52"/>
      <c r="U250" s="61"/>
      <c r="V250" s="62"/>
      <c r="W250" s="63"/>
      <c r="X250" s="64"/>
      <c r="Y250" s="18"/>
      <c r="Z250" s="18"/>
      <c r="AA250" s="18"/>
      <c r="AB250" s="18"/>
    </row>
    <row r="251" spans="1:28">
      <c r="A251" s="51">
        <v>250</v>
      </c>
      <c r="B251" s="52"/>
      <c r="C251" s="61"/>
      <c r="D251" s="51"/>
      <c r="E251" s="51" t="s">
        <v>1080</v>
      </c>
      <c r="F251" s="55" t="s">
        <v>1081</v>
      </c>
      <c r="G251" s="56"/>
      <c r="H251" s="57"/>
      <c r="I251" s="51"/>
      <c r="J251" s="51">
        <f>31*1000</f>
        <v>31000</v>
      </c>
      <c r="K251" s="58">
        <v>3.9756944444444449E-2</v>
      </c>
      <c r="L251" s="59" t="s">
        <v>1082</v>
      </c>
      <c r="M251" s="51"/>
      <c r="N251" s="51"/>
      <c r="O251" s="51"/>
      <c r="P251" s="51"/>
      <c r="Q251" s="37" t="str">
        <f t="shared" ca="1" si="0"/>
        <v/>
      </c>
      <c r="R251" s="52"/>
      <c r="S251" s="52"/>
      <c r="T251" s="52"/>
      <c r="U251" s="61"/>
      <c r="V251" s="62"/>
      <c r="W251" s="63"/>
      <c r="X251" s="64"/>
      <c r="Y251" s="18"/>
      <c r="Z251" s="18"/>
      <c r="AA251" s="18"/>
      <c r="AB251" s="18"/>
    </row>
    <row r="252" spans="1:28">
      <c r="A252" s="51">
        <v>251</v>
      </c>
      <c r="B252" s="52"/>
      <c r="C252" s="61"/>
      <c r="D252" s="51"/>
      <c r="E252" s="51" t="s">
        <v>1083</v>
      </c>
      <c r="F252" s="55" t="s">
        <v>1084</v>
      </c>
      <c r="G252" s="56"/>
      <c r="H252" s="57"/>
      <c r="I252" s="51"/>
      <c r="J252" s="51">
        <f>20*1000</f>
        <v>20000</v>
      </c>
      <c r="K252" s="58">
        <v>7.3252314814814812E-2</v>
      </c>
      <c r="L252" s="59" t="s">
        <v>1082</v>
      </c>
      <c r="M252" s="51"/>
      <c r="N252" s="51"/>
      <c r="O252" s="51"/>
      <c r="P252" s="51"/>
      <c r="Q252" s="37" t="str">
        <f t="shared" ca="1" si="0"/>
        <v/>
      </c>
      <c r="R252" s="52"/>
      <c r="S252" s="52"/>
      <c r="T252" s="52"/>
      <c r="U252" s="61"/>
      <c r="V252" s="62"/>
      <c r="W252" s="63"/>
      <c r="X252" s="64"/>
      <c r="Y252" s="18"/>
      <c r="Z252" s="18"/>
      <c r="AA252" s="18"/>
      <c r="AB252" s="18"/>
    </row>
    <row r="253" spans="1:28">
      <c r="A253" s="51">
        <v>252</v>
      </c>
      <c r="B253" s="52"/>
      <c r="C253" s="61"/>
      <c r="D253" s="51"/>
      <c r="E253" s="51" t="s">
        <v>1085</v>
      </c>
      <c r="F253" s="55" t="s">
        <v>1086</v>
      </c>
      <c r="G253" s="56"/>
      <c r="H253" s="57"/>
      <c r="I253" s="51"/>
      <c r="J253" s="51">
        <f>7.9*1000</f>
        <v>7900</v>
      </c>
      <c r="K253" s="58">
        <v>2.2789351851851852E-2</v>
      </c>
      <c r="L253" s="59" t="s">
        <v>1082</v>
      </c>
      <c r="M253" s="51"/>
      <c r="N253" s="51"/>
      <c r="O253" s="51"/>
      <c r="P253" s="51"/>
      <c r="Q253" s="37" t="str">
        <f t="shared" ca="1" si="0"/>
        <v/>
      </c>
      <c r="R253" s="52"/>
      <c r="S253" s="52"/>
      <c r="T253" s="52"/>
      <c r="U253" s="61"/>
      <c r="V253" s="62"/>
      <c r="W253" s="63"/>
      <c r="X253" s="64"/>
      <c r="Y253" s="18"/>
      <c r="Z253" s="18"/>
      <c r="AA253" s="18"/>
      <c r="AB253" s="18"/>
    </row>
    <row r="254" spans="1:28">
      <c r="A254" s="51">
        <v>253</v>
      </c>
      <c r="B254" s="52"/>
      <c r="C254" s="61"/>
      <c r="D254" s="51"/>
      <c r="E254" s="51" t="s">
        <v>1087</v>
      </c>
      <c r="F254" s="55" t="s">
        <v>1088</v>
      </c>
      <c r="G254" s="56"/>
      <c r="H254" s="57"/>
      <c r="I254" s="51"/>
      <c r="J254" s="51">
        <f>2*1000</f>
        <v>2000</v>
      </c>
      <c r="K254" s="58">
        <v>7.0717592592592594E-3</v>
      </c>
      <c r="L254" s="59" t="s">
        <v>1082</v>
      </c>
      <c r="M254" s="51"/>
      <c r="N254" s="51"/>
      <c r="O254" s="51"/>
      <c r="P254" s="51"/>
      <c r="Q254" s="37" t="str">
        <f t="shared" ca="1" si="0"/>
        <v/>
      </c>
      <c r="R254" s="52"/>
      <c r="S254" s="52"/>
      <c r="T254" s="52"/>
      <c r="U254" s="61"/>
      <c r="V254" s="62"/>
      <c r="W254" s="63"/>
      <c r="X254" s="64"/>
      <c r="Y254" s="18"/>
      <c r="Z254" s="18"/>
      <c r="AA254" s="18"/>
      <c r="AB254" s="18"/>
    </row>
    <row r="255" spans="1:28">
      <c r="A255" s="51">
        <v>254</v>
      </c>
      <c r="B255" s="52"/>
      <c r="C255" s="61"/>
      <c r="D255" s="51"/>
      <c r="E255" s="51" t="s">
        <v>1089</v>
      </c>
      <c r="F255" s="55" t="s">
        <v>1090</v>
      </c>
      <c r="G255" s="56"/>
      <c r="H255" s="57"/>
      <c r="I255" s="51"/>
      <c r="J255" s="51">
        <f>1.5*1000</f>
        <v>1500</v>
      </c>
      <c r="K255" s="58">
        <v>5.0578703703703706E-3</v>
      </c>
      <c r="L255" s="59" t="s">
        <v>1082</v>
      </c>
      <c r="M255" s="51"/>
      <c r="N255" s="51"/>
      <c r="O255" s="51"/>
      <c r="P255" s="51"/>
      <c r="Q255" s="37" t="str">
        <f t="shared" ca="1" si="0"/>
        <v/>
      </c>
      <c r="R255" s="52"/>
      <c r="S255" s="52"/>
      <c r="T255" s="52"/>
      <c r="U255" s="61"/>
      <c r="V255" s="62"/>
      <c r="W255" s="63"/>
      <c r="X255" s="64"/>
      <c r="Y255" s="18"/>
      <c r="Z255" s="18"/>
      <c r="AA255" s="18"/>
      <c r="AB255" s="18"/>
    </row>
    <row r="256" spans="1:28">
      <c r="A256" s="51">
        <v>255</v>
      </c>
      <c r="B256" s="52"/>
      <c r="C256" s="61"/>
      <c r="D256" s="51"/>
      <c r="E256" s="51" t="s">
        <v>1091</v>
      </c>
      <c r="F256" s="55" t="s">
        <v>1092</v>
      </c>
      <c r="G256" s="56"/>
      <c r="H256" s="57"/>
      <c r="I256" s="51"/>
      <c r="J256" s="51">
        <f>2.3*1000</f>
        <v>2300</v>
      </c>
      <c r="K256" s="58">
        <v>0.02</v>
      </c>
      <c r="L256" s="59" t="s">
        <v>1082</v>
      </c>
      <c r="M256" s="51"/>
      <c r="N256" s="51"/>
      <c r="O256" s="51"/>
      <c r="P256" s="51"/>
      <c r="Q256" s="37" t="str">
        <f t="shared" ca="1" si="0"/>
        <v/>
      </c>
      <c r="R256" s="52"/>
      <c r="S256" s="52"/>
      <c r="T256" s="52"/>
      <c r="U256" s="61"/>
      <c r="V256" s="62"/>
      <c r="W256" s="63"/>
      <c r="X256" s="64"/>
      <c r="Y256" s="18"/>
      <c r="Z256" s="18"/>
      <c r="AA256" s="18"/>
      <c r="AB256" s="18"/>
    </row>
    <row r="257" spans="1:28">
      <c r="A257" s="51">
        <v>256</v>
      </c>
      <c r="B257" s="52"/>
      <c r="C257" s="61"/>
      <c r="D257" s="51"/>
      <c r="E257" s="51" t="s">
        <v>1093</v>
      </c>
      <c r="F257" s="55" t="s">
        <v>1094</v>
      </c>
      <c r="G257" s="56"/>
      <c r="H257" s="57"/>
      <c r="I257" s="51"/>
      <c r="J257" s="51">
        <f>3.8*1000</f>
        <v>3800</v>
      </c>
      <c r="K257" s="58">
        <v>2.2337962962962967E-3</v>
      </c>
      <c r="L257" s="59" t="s">
        <v>1082</v>
      </c>
      <c r="M257" s="51"/>
      <c r="N257" s="51"/>
      <c r="O257" s="51"/>
      <c r="P257" s="51"/>
      <c r="Q257" s="37" t="str">
        <f t="shared" ca="1" si="0"/>
        <v/>
      </c>
      <c r="R257" s="52"/>
      <c r="S257" s="52"/>
      <c r="T257" s="52"/>
      <c r="U257" s="61"/>
      <c r="V257" s="62"/>
      <c r="W257" s="63"/>
      <c r="X257" s="64"/>
      <c r="Y257" s="18"/>
      <c r="Z257" s="18"/>
      <c r="AA257" s="18"/>
      <c r="AB257" s="18"/>
    </row>
    <row r="258" spans="1:28">
      <c r="A258" s="51">
        <v>257</v>
      </c>
      <c r="B258" s="52"/>
      <c r="C258" s="61"/>
      <c r="D258" s="51"/>
      <c r="E258" s="51" t="s">
        <v>1095</v>
      </c>
      <c r="F258" s="55" t="s">
        <v>1096</v>
      </c>
      <c r="G258" s="56"/>
      <c r="H258" s="57"/>
      <c r="I258" s="51"/>
      <c r="J258" s="51">
        <f>1.4*1000</f>
        <v>1400</v>
      </c>
      <c r="K258" s="58">
        <v>1.9456018518518518E-2</v>
      </c>
      <c r="L258" s="59" t="s">
        <v>1082</v>
      </c>
      <c r="M258" s="51"/>
      <c r="N258" s="51"/>
      <c r="O258" s="51"/>
      <c r="P258" s="51"/>
      <c r="Q258" s="37" t="str">
        <f t="shared" ca="1" si="0"/>
        <v/>
      </c>
      <c r="R258" s="52"/>
      <c r="S258" s="52"/>
      <c r="T258" s="52"/>
      <c r="U258" s="61"/>
      <c r="V258" s="62"/>
      <c r="W258" s="63"/>
      <c r="X258" s="64"/>
      <c r="Y258" s="18"/>
      <c r="Z258" s="18"/>
      <c r="AA258" s="18"/>
      <c r="AB258" s="18"/>
    </row>
    <row r="259" spans="1:28">
      <c r="A259" s="51">
        <v>258</v>
      </c>
      <c r="B259" s="69"/>
      <c r="C259" s="61"/>
      <c r="D259" s="51"/>
      <c r="E259" s="51" t="s">
        <v>1097</v>
      </c>
      <c r="F259" s="55" t="s">
        <v>1098</v>
      </c>
      <c r="G259" s="56"/>
      <c r="H259" s="57"/>
      <c r="I259" s="51"/>
      <c r="J259" s="51">
        <f>6.9*1000</f>
        <v>6900</v>
      </c>
      <c r="K259" s="58">
        <v>9.2592592592592605E-3</v>
      </c>
      <c r="L259" s="59" t="s">
        <v>1082</v>
      </c>
      <c r="M259" s="51"/>
      <c r="N259" s="51"/>
      <c r="O259" s="51"/>
      <c r="P259" s="51"/>
      <c r="Q259" s="37" t="str">
        <f t="shared" ca="1" si="0"/>
        <v/>
      </c>
      <c r="R259" s="52"/>
      <c r="S259" s="52"/>
      <c r="T259" s="52"/>
      <c r="U259" s="61"/>
      <c r="V259" s="62"/>
      <c r="W259" s="63"/>
      <c r="X259" s="64"/>
      <c r="Y259" s="18"/>
      <c r="Z259" s="18"/>
      <c r="AA259" s="18"/>
      <c r="AB259" s="18"/>
    </row>
    <row r="260" spans="1:28">
      <c r="A260" s="51">
        <v>259</v>
      </c>
      <c r="B260" s="52"/>
      <c r="C260" s="61"/>
      <c r="D260" s="51"/>
      <c r="E260" s="51" t="s">
        <v>1099</v>
      </c>
      <c r="F260" s="55" t="s">
        <v>1100</v>
      </c>
      <c r="G260" s="56"/>
      <c r="H260" s="57"/>
      <c r="I260" s="51"/>
      <c r="J260" s="51">
        <f>29*1000</f>
        <v>29000</v>
      </c>
      <c r="K260" s="58">
        <v>8.8541666666666664E-3</v>
      </c>
      <c r="L260" s="59" t="s">
        <v>1082</v>
      </c>
      <c r="M260" s="51"/>
      <c r="N260" s="51"/>
      <c r="O260" s="51"/>
      <c r="P260" s="51"/>
      <c r="Q260" s="37" t="str">
        <f t="shared" ca="1" si="0"/>
        <v/>
      </c>
      <c r="R260" s="52"/>
      <c r="S260" s="52"/>
      <c r="T260" s="52"/>
      <c r="U260" s="61"/>
      <c r="V260" s="62"/>
      <c r="W260" s="63"/>
      <c r="X260" s="64"/>
      <c r="Y260" s="18"/>
      <c r="Z260" s="18"/>
      <c r="AA260" s="18"/>
      <c r="AB260" s="18"/>
    </row>
    <row r="261" spans="1:28">
      <c r="A261" s="51">
        <v>260</v>
      </c>
      <c r="B261" s="52"/>
      <c r="C261" s="61"/>
      <c r="D261" s="51"/>
      <c r="E261" s="51" t="s">
        <v>1101</v>
      </c>
      <c r="F261" s="55" t="s">
        <v>1102</v>
      </c>
      <c r="G261" s="56"/>
      <c r="H261" s="57"/>
      <c r="I261" s="51"/>
      <c r="J261" s="51">
        <f>2.6*1000</f>
        <v>2600</v>
      </c>
      <c r="K261" s="58">
        <v>3.9236111111111112E-3</v>
      </c>
      <c r="L261" s="59" t="s">
        <v>1082</v>
      </c>
      <c r="M261" s="51"/>
      <c r="N261" s="51"/>
      <c r="O261" s="51"/>
      <c r="P261" s="51"/>
      <c r="Q261" s="37" t="str">
        <f t="shared" ca="1" si="0"/>
        <v/>
      </c>
      <c r="R261" s="52"/>
      <c r="S261" s="52"/>
      <c r="T261" s="52"/>
      <c r="U261" s="61"/>
      <c r="V261" s="62"/>
      <c r="W261" s="63"/>
      <c r="X261" s="64"/>
      <c r="Y261" s="18"/>
      <c r="Z261" s="18"/>
      <c r="AA261" s="18"/>
      <c r="AB261" s="18"/>
    </row>
    <row r="262" spans="1:28">
      <c r="A262" s="51">
        <v>261</v>
      </c>
      <c r="B262" s="52"/>
      <c r="C262" s="61"/>
      <c r="D262" s="51"/>
      <c r="E262" s="51" t="s">
        <v>1103</v>
      </c>
      <c r="F262" s="55" t="s">
        <v>1104</v>
      </c>
      <c r="G262" s="56"/>
      <c r="H262" s="57"/>
      <c r="I262" s="51"/>
      <c r="J262" s="51">
        <f>1*1000</f>
        <v>1000</v>
      </c>
      <c r="K262" s="58">
        <v>3.1249999999999997E-3</v>
      </c>
      <c r="L262" s="59" t="s">
        <v>1082</v>
      </c>
      <c r="M262" s="51"/>
      <c r="N262" s="51"/>
      <c r="O262" s="51"/>
      <c r="P262" s="51"/>
      <c r="Q262" s="37" t="str">
        <f t="shared" ca="1" si="0"/>
        <v/>
      </c>
      <c r="R262" s="52"/>
      <c r="S262" s="52"/>
      <c r="T262" s="52"/>
      <c r="U262" s="61"/>
      <c r="V262" s="62"/>
      <c r="W262" s="63"/>
      <c r="X262" s="64"/>
      <c r="Y262" s="18"/>
      <c r="Z262" s="18"/>
      <c r="AA262" s="18"/>
      <c r="AB262" s="18"/>
    </row>
    <row r="263" spans="1:28">
      <c r="A263" s="51">
        <v>262</v>
      </c>
      <c r="B263" s="52"/>
      <c r="C263" s="61"/>
      <c r="D263" s="51"/>
      <c r="E263" s="51" t="s">
        <v>1105</v>
      </c>
      <c r="F263" s="55" t="s">
        <v>1106</v>
      </c>
      <c r="G263" s="56"/>
      <c r="H263" s="57"/>
      <c r="I263" s="51"/>
      <c r="J263" s="51">
        <f>5*1000</f>
        <v>5000</v>
      </c>
      <c r="K263" s="58">
        <v>1.7476851851851851E-2</v>
      </c>
      <c r="L263" s="59" t="s">
        <v>1082</v>
      </c>
      <c r="M263" s="51"/>
      <c r="N263" s="51"/>
      <c r="O263" s="51"/>
      <c r="P263" s="51"/>
      <c r="Q263" s="37" t="str">
        <f t="shared" ca="1" si="0"/>
        <v/>
      </c>
      <c r="R263" s="52"/>
      <c r="S263" s="52"/>
      <c r="T263" s="52"/>
      <c r="U263" s="61"/>
      <c r="V263" s="62"/>
      <c r="W263" s="63"/>
      <c r="X263" s="64"/>
      <c r="Y263" s="18"/>
      <c r="Z263" s="18"/>
      <c r="AA263" s="18"/>
      <c r="AB263" s="18"/>
    </row>
    <row r="264" spans="1:28">
      <c r="A264" s="51">
        <v>263</v>
      </c>
      <c r="B264" s="52"/>
      <c r="C264" s="61"/>
      <c r="D264" s="51"/>
      <c r="E264" s="51" t="s">
        <v>1107</v>
      </c>
      <c r="F264" s="55" t="s">
        <v>1108</v>
      </c>
      <c r="G264" s="56"/>
      <c r="H264" s="57"/>
      <c r="I264" s="51"/>
      <c r="J264" s="51">
        <f>4.5*1000</f>
        <v>4500</v>
      </c>
      <c r="K264" s="58">
        <v>1.9560185185185184E-3</v>
      </c>
      <c r="L264" s="59" t="s">
        <v>1082</v>
      </c>
      <c r="M264" s="51"/>
      <c r="N264" s="51"/>
      <c r="O264" s="51"/>
      <c r="P264" s="51"/>
      <c r="Q264" s="37" t="str">
        <f t="shared" ca="1" si="0"/>
        <v/>
      </c>
      <c r="R264" s="52"/>
      <c r="S264" s="52"/>
      <c r="T264" s="52"/>
      <c r="U264" s="61"/>
      <c r="V264" s="62"/>
      <c r="W264" s="63"/>
      <c r="X264" s="64"/>
      <c r="Y264" s="18"/>
      <c r="Z264" s="18"/>
      <c r="AA264" s="18"/>
      <c r="AB264" s="18"/>
    </row>
    <row r="265" spans="1:28">
      <c r="A265" s="51">
        <v>264</v>
      </c>
      <c r="B265" s="52"/>
      <c r="C265" s="61"/>
      <c r="D265" s="51"/>
      <c r="E265" s="51" t="s">
        <v>1109</v>
      </c>
      <c r="F265" s="55" t="s">
        <v>1110</v>
      </c>
      <c r="G265" s="56"/>
      <c r="H265" s="57"/>
      <c r="I265" s="51"/>
      <c r="J265" s="51">
        <f>1.4*1000</f>
        <v>1400</v>
      </c>
      <c r="K265" s="58">
        <v>4.1319444444444442E-3</v>
      </c>
      <c r="L265" s="59" t="s">
        <v>1082</v>
      </c>
      <c r="M265" s="51"/>
      <c r="N265" s="51"/>
      <c r="O265" s="51"/>
      <c r="P265" s="51"/>
      <c r="Q265" s="37" t="str">
        <f t="shared" ca="1" si="0"/>
        <v/>
      </c>
      <c r="R265" s="52"/>
      <c r="S265" s="52"/>
      <c r="T265" s="52"/>
      <c r="U265" s="61"/>
      <c r="V265" s="62"/>
      <c r="W265" s="63"/>
      <c r="X265" s="64"/>
      <c r="Y265" s="18"/>
      <c r="Z265" s="18"/>
      <c r="AA265" s="18"/>
      <c r="AB265" s="18"/>
    </row>
    <row r="266" spans="1:28">
      <c r="A266" s="51">
        <v>265</v>
      </c>
      <c r="B266" s="52"/>
      <c r="C266" s="61"/>
      <c r="D266" s="51"/>
      <c r="E266" s="51" t="s">
        <v>1111</v>
      </c>
      <c r="F266" s="55" t="s">
        <v>1112</v>
      </c>
      <c r="G266" s="56"/>
      <c r="H266" s="57"/>
      <c r="I266" s="51"/>
      <c r="J266" s="51">
        <f>6.8*1000</f>
        <v>6800</v>
      </c>
      <c r="K266" s="58">
        <v>3.6122685185185181E-2</v>
      </c>
      <c r="L266" s="59" t="s">
        <v>1082</v>
      </c>
      <c r="M266" s="51"/>
      <c r="N266" s="51"/>
      <c r="O266" s="51"/>
      <c r="P266" s="51"/>
      <c r="Q266" s="37" t="str">
        <f t="shared" ca="1" si="0"/>
        <v/>
      </c>
      <c r="R266" s="52"/>
      <c r="S266" s="52"/>
      <c r="T266" s="52"/>
      <c r="U266" s="61"/>
      <c r="V266" s="62"/>
      <c r="W266" s="63"/>
      <c r="X266" s="64"/>
      <c r="Y266" s="18"/>
      <c r="Z266" s="18"/>
      <c r="AA266" s="18"/>
      <c r="AB266" s="18"/>
    </row>
    <row r="267" spans="1:28">
      <c r="A267" s="51">
        <v>266</v>
      </c>
      <c r="B267" s="52"/>
      <c r="C267" s="61"/>
      <c r="D267" s="51"/>
      <c r="E267" s="51" t="s">
        <v>1114</v>
      </c>
      <c r="F267" s="55" t="s">
        <v>1115</v>
      </c>
      <c r="G267" s="56"/>
      <c r="H267" s="57"/>
      <c r="I267" s="51"/>
      <c r="J267" s="51">
        <f>3.2*1000</f>
        <v>3200</v>
      </c>
      <c r="K267" s="58">
        <v>2.8125000000000001E-2</v>
      </c>
      <c r="L267" s="59" t="s">
        <v>1082</v>
      </c>
      <c r="M267" s="51"/>
      <c r="N267" s="51"/>
      <c r="O267" s="51"/>
      <c r="P267" s="51"/>
      <c r="Q267" s="37" t="str">
        <f t="shared" ca="1" si="0"/>
        <v/>
      </c>
      <c r="R267" s="52"/>
      <c r="S267" s="52"/>
      <c r="T267" s="52"/>
      <c r="U267" s="61"/>
      <c r="V267" s="62"/>
      <c r="W267" s="63"/>
      <c r="X267" s="64"/>
      <c r="Y267" s="18"/>
      <c r="Z267" s="18"/>
      <c r="AA267" s="18"/>
      <c r="AB267" s="18"/>
    </row>
    <row r="268" spans="1:28">
      <c r="A268" s="51">
        <v>267</v>
      </c>
      <c r="B268" s="52"/>
      <c r="C268" s="61"/>
      <c r="D268" s="51"/>
      <c r="E268" s="51" t="s">
        <v>1117</v>
      </c>
      <c r="F268" s="55" t="s">
        <v>1118</v>
      </c>
      <c r="G268" s="56"/>
      <c r="H268" s="57"/>
      <c r="I268" s="51"/>
      <c r="J268" s="51">
        <f>4.4*1000</f>
        <v>4400</v>
      </c>
      <c r="K268" s="58">
        <v>3.3101851851851848E-2</v>
      </c>
      <c r="L268" s="59" t="s">
        <v>1082</v>
      </c>
      <c r="M268" s="51"/>
      <c r="N268" s="51"/>
      <c r="O268" s="51"/>
      <c r="P268" s="51"/>
      <c r="Q268" s="37" t="str">
        <f t="shared" ca="1" si="0"/>
        <v/>
      </c>
      <c r="R268" s="52"/>
      <c r="S268" s="52"/>
      <c r="T268" s="52"/>
      <c r="U268" s="61"/>
      <c r="V268" s="62"/>
      <c r="W268" s="63"/>
      <c r="X268" s="64"/>
      <c r="Y268" s="18"/>
      <c r="Z268" s="18"/>
      <c r="AA268" s="18"/>
      <c r="AB268" s="18"/>
    </row>
    <row r="269" spans="1:28">
      <c r="A269" s="51">
        <v>268</v>
      </c>
      <c r="B269" s="52"/>
      <c r="C269" s="61"/>
      <c r="D269" s="51"/>
      <c r="E269" s="51" t="s">
        <v>1120</v>
      </c>
      <c r="F269" s="55" t="s">
        <v>1121</v>
      </c>
      <c r="G269" s="56"/>
      <c r="H269" s="57"/>
      <c r="I269" s="51"/>
      <c r="J269" s="51">
        <f>64*1000</f>
        <v>64000</v>
      </c>
      <c r="K269" s="58">
        <v>5.9305555555555556E-2</v>
      </c>
      <c r="L269" s="59" t="s">
        <v>1082</v>
      </c>
      <c r="M269" s="51"/>
      <c r="N269" s="51"/>
      <c r="O269" s="51"/>
      <c r="P269" s="51"/>
      <c r="Q269" s="37" t="str">
        <f t="shared" ca="1" si="0"/>
        <v/>
      </c>
      <c r="R269" s="52"/>
      <c r="S269" s="52"/>
      <c r="T269" s="52"/>
      <c r="U269" s="61"/>
      <c r="V269" s="62"/>
      <c r="W269" s="63"/>
      <c r="X269" s="64"/>
      <c r="Y269" s="18"/>
      <c r="Z269" s="18"/>
      <c r="AA269" s="18"/>
      <c r="AB269" s="18"/>
    </row>
    <row r="270" spans="1:28">
      <c r="A270" s="51">
        <v>269</v>
      </c>
      <c r="B270" s="69" t="s">
        <v>98</v>
      </c>
      <c r="C270" s="61"/>
      <c r="D270" s="51"/>
      <c r="E270" s="51" t="s">
        <v>1123</v>
      </c>
      <c r="F270" s="55" t="s">
        <v>1124</v>
      </c>
      <c r="G270" s="56"/>
      <c r="H270" s="57"/>
      <c r="I270" s="51"/>
      <c r="J270" s="51">
        <f>6*1000</f>
        <v>6000</v>
      </c>
      <c r="K270" s="58">
        <v>6.1493055555555558E-2</v>
      </c>
      <c r="L270" s="59" t="s">
        <v>1082</v>
      </c>
      <c r="M270" s="51"/>
      <c r="N270" s="51"/>
      <c r="O270" s="51"/>
      <c r="P270" s="51"/>
      <c r="Q270" s="37" t="str">
        <f t="shared" ca="1" si="0"/>
        <v/>
      </c>
      <c r="R270" s="52"/>
      <c r="S270" s="52"/>
      <c r="T270" s="52"/>
      <c r="U270" s="61"/>
      <c r="V270" s="62"/>
      <c r="W270" s="63"/>
      <c r="X270" s="64"/>
      <c r="Y270" s="18"/>
      <c r="Z270" s="18"/>
      <c r="AA270" s="18"/>
      <c r="AB270" s="18"/>
    </row>
    <row r="271" spans="1:28">
      <c r="A271" s="51">
        <v>270</v>
      </c>
      <c r="B271" s="69" t="s">
        <v>131</v>
      </c>
      <c r="C271" s="61"/>
      <c r="D271" s="51"/>
      <c r="E271" s="51" t="s">
        <v>1126</v>
      </c>
      <c r="F271" s="55" t="s">
        <v>1127</v>
      </c>
      <c r="G271" s="56"/>
      <c r="H271" s="57"/>
      <c r="I271" s="51"/>
      <c r="J271" s="51">
        <f>8.8*1000</f>
        <v>8800</v>
      </c>
      <c r="K271" s="58">
        <v>1.8888888888888889E-2</v>
      </c>
      <c r="L271" s="59" t="s">
        <v>1082</v>
      </c>
      <c r="M271" s="51"/>
      <c r="N271" s="51"/>
      <c r="O271" s="51"/>
      <c r="P271" s="51"/>
      <c r="Q271" s="37" t="str">
        <f t="shared" ca="1" si="0"/>
        <v/>
      </c>
      <c r="R271" s="52"/>
      <c r="S271" s="52"/>
      <c r="T271" s="52"/>
      <c r="U271" s="61"/>
      <c r="V271" s="62"/>
      <c r="W271" s="63"/>
      <c r="X271" s="64"/>
      <c r="Y271" s="18"/>
      <c r="Z271" s="18"/>
      <c r="AA271" s="18"/>
      <c r="AB271" s="18"/>
    </row>
    <row r="272" spans="1:28">
      <c r="A272" s="51">
        <v>271</v>
      </c>
      <c r="B272" s="69" t="s">
        <v>131</v>
      </c>
      <c r="C272" s="61"/>
      <c r="D272" s="51"/>
      <c r="E272" s="51" t="s">
        <v>1128</v>
      </c>
      <c r="F272" s="55" t="s">
        <v>1129</v>
      </c>
      <c r="G272" s="56"/>
      <c r="H272" s="57"/>
      <c r="I272" s="51"/>
      <c r="J272" s="51">
        <f>46*1000</f>
        <v>46000</v>
      </c>
      <c r="K272" s="58">
        <v>3.3611111111111112E-2</v>
      </c>
      <c r="L272" s="59" t="s">
        <v>1082</v>
      </c>
      <c r="M272" s="51"/>
      <c r="N272" s="51"/>
      <c r="O272" s="51"/>
      <c r="P272" s="51"/>
      <c r="Q272" s="37" t="str">
        <f t="shared" ca="1" si="0"/>
        <v/>
      </c>
      <c r="R272" s="52"/>
      <c r="S272" s="52"/>
      <c r="T272" s="52"/>
      <c r="U272" s="61"/>
      <c r="V272" s="62"/>
      <c r="W272" s="63"/>
      <c r="X272" s="64"/>
      <c r="Y272" s="18"/>
      <c r="Z272" s="18"/>
      <c r="AA272" s="18"/>
      <c r="AB272" s="18"/>
    </row>
    <row r="273" spans="1:28">
      <c r="A273" s="51">
        <v>272</v>
      </c>
      <c r="B273" s="52"/>
      <c r="C273" s="61"/>
      <c r="D273" s="51"/>
      <c r="E273" s="51" t="s">
        <v>1131</v>
      </c>
      <c r="F273" s="55" t="s">
        <v>1132</v>
      </c>
      <c r="G273" s="56"/>
      <c r="H273" s="57"/>
      <c r="I273" s="51"/>
      <c r="J273" s="51">
        <f>7.6*1000</f>
        <v>7600</v>
      </c>
      <c r="K273" s="58">
        <v>3.3298611111111112E-2</v>
      </c>
      <c r="L273" s="59" t="s">
        <v>1082</v>
      </c>
      <c r="M273" s="51"/>
      <c r="N273" s="51"/>
      <c r="O273" s="51"/>
      <c r="P273" s="51"/>
      <c r="Q273" s="37" t="str">
        <f t="shared" ca="1" si="0"/>
        <v/>
      </c>
      <c r="R273" s="52"/>
      <c r="S273" s="52"/>
      <c r="T273" s="52"/>
      <c r="U273" s="61"/>
      <c r="V273" s="62"/>
      <c r="W273" s="63"/>
      <c r="X273" s="64"/>
      <c r="Y273" s="18"/>
      <c r="Z273" s="18"/>
      <c r="AA273" s="18"/>
      <c r="AB273" s="18"/>
    </row>
    <row r="274" spans="1:28">
      <c r="A274" s="51">
        <v>273</v>
      </c>
      <c r="B274" s="52"/>
      <c r="C274" s="61"/>
      <c r="D274" s="51"/>
      <c r="E274" s="51" t="s">
        <v>1134</v>
      </c>
      <c r="F274" s="55" t="s">
        <v>1135</v>
      </c>
      <c r="G274" s="56"/>
      <c r="H274" s="57"/>
      <c r="I274" s="51"/>
      <c r="J274" s="51">
        <f>12*1000</f>
        <v>12000</v>
      </c>
      <c r="K274" s="58">
        <v>3.005787037037037E-2</v>
      </c>
      <c r="L274" s="59" t="s">
        <v>1082</v>
      </c>
      <c r="M274" s="51"/>
      <c r="N274" s="51"/>
      <c r="O274" s="51"/>
      <c r="P274" s="51"/>
      <c r="Q274" s="37" t="str">
        <f t="shared" ca="1" si="0"/>
        <v/>
      </c>
      <c r="R274" s="52"/>
      <c r="S274" s="52"/>
      <c r="T274" s="52"/>
      <c r="U274" s="61"/>
      <c r="V274" s="62"/>
      <c r="W274" s="63"/>
      <c r="X274" s="64"/>
      <c r="Y274" s="18"/>
      <c r="Z274" s="18"/>
      <c r="AA274" s="18"/>
      <c r="AB274" s="18"/>
    </row>
    <row r="275" spans="1:28">
      <c r="A275" s="51">
        <v>274</v>
      </c>
      <c r="B275" s="69" t="s">
        <v>131</v>
      </c>
      <c r="C275" s="61"/>
      <c r="D275" s="51"/>
      <c r="E275" s="51" t="s">
        <v>1136</v>
      </c>
      <c r="F275" s="55" t="s">
        <v>1137</v>
      </c>
      <c r="G275" s="56"/>
      <c r="H275" s="57"/>
      <c r="I275" s="51"/>
      <c r="J275" s="51">
        <f>4.4*1000</f>
        <v>4400</v>
      </c>
      <c r="K275" s="58">
        <v>2.0902777777777781E-2</v>
      </c>
      <c r="L275" s="59" t="s">
        <v>1082</v>
      </c>
      <c r="M275" s="51"/>
      <c r="N275" s="51"/>
      <c r="O275" s="51"/>
      <c r="P275" s="51"/>
      <c r="Q275" s="37" t="str">
        <f t="shared" ca="1" si="0"/>
        <v/>
      </c>
      <c r="R275" s="52"/>
      <c r="S275" s="52"/>
      <c r="T275" s="52"/>
      <c r="U275" s="61"/>
      <c r="V275" s="62"/>
      <c r="W275" s="63"/>
      <c r="X275" s="64"/>
      <c r="Y275" s="18"/>
      <c r="Z275" s="18"/>
      <c r="AA275" s="18"/>
      <c r="AB275" s="18"/>
    </row>
    <row r="276" spans="1:28">
      <c r="A276" s="51">
        <v>275</v>
      </c>
      <c r="B276" s="69" t="s">
        <v>131</v>
      </c>
      <c r="C276" s="61"/>
      <c r="D276" s="51"/>
      <c r="E276" s="51" t="s">
        <v>1138</v>
      </c>
      <c r="F276" s="55" t="s">
        <v>1139</v>
      </c>
      <c r="G276" s="56"/>
      <c r="H276" s="57"/>
      <c r="I276" s="51"/>
      <c r="J276" s="51">
        <f>4.5*1000</f>
        <v>4500</v>
      </c>
      <c r="K276" s="58">
        <v>2.2083333333333333E-2</v>
      </c>
      <c r="L276" s="59" t="s">
        <v>1082</v>
      </c>
      <c r="M276" s="51"/>
      <c r="N276" s="51"/>
      <c r="O276" s="51"/>
      <c r="P276" s="51"/>
      <c r="Q276" s="37" t="str">
        <f t="shared" ca="1" si="0"/>
        <v/>
      </c>
      <c r="R276" s="52"/>
      <c r="S276" s="52"/>
      <c r="T276" s="52"/>
      <c r="U276" s="61"/>
      <c r="V276" s="62"/>
      <c r="W276" s="63"/>
      <c r="X276" s="64"/>
      <c r="Y276" s="18"/>
      <c r="Z276" s="18"/>
      <c r="AA276" s="18"/>
      <c r="AB276" s="18"/>
    </row>
    <row r="277" spans="1:28">
      <c r="A277" s="51">
        <v>276</v>
      </c>
      <c r="B277" s="69" t="s">
        <v>131</v>
      </c>
      <c r="C277" s="61"/>
      <c r="D277" s="51"/>
      <c r="E277" s="51" t="s">
        <v>1140</v>
      </c>
      <c r="F277" s="55" t="s">
        <v>1141</v>
      </c>
      <c r="G277" s="56"/>
      <c r="H277" s="57"/>
      <c r="I277" s="51"/>
      <c r="J277" s="51">
        <f>4.3*1000</f>
        <v>4300</v>
      </c>
      <c r="K277" s="58">
        <v>5.2430555555555555E-3</v>
      </c>
      <c r="L277" s="59" t="s">
        <v>1082</v>
      </c>
      <c r="M277" s="51"/>
      <c r="N277" s="51"/>
      <c r="O277" s="51"/>
      <c r="P277" s="51"/>
      <c r="Q277" s="37" t="str">
        <f t="shared" ca="1" si="0"/>
        <v/>
      </c>
      <c r="R277" s="52"/>
      <c r="S277" s="52"/>
      <c r="T277" s="52"/>
      <c r="U277" s="61"/>
      <c r="V277" s="62"/>
      <c r="W277" s="63"/>
      <c r="X277" s="64"/>
      <c r="Y277" s="18"/>
      <c r="Z277" s="18"/>
      <c r="AA277" s="18"/>
      <c r="AB277" s="18"/>
    </row>
    <row r="278" spans="1:28">
      <c r="A278" s="51">
        <v>277</v>
      </c>
      <c r="B278" s="52"/>
      <c r="C278" s="61"/>
      <c r="D278" s="51"/>
      <c r="E278" s="51" t="s">
        <v>1142</v>
      </c>
      <c r="F278" s="55" t="s">
        <v>1143</v>
      </c>
      <c r="G278" s="56"/>
      <c r="H278" s="57"/>
      <c r="I278" s="51"/>
      <c r="J278" s="51">
        <f>34*1000</f>
        <v>34000</v>
      </c>
      <c r="K278" s="58">
        <v>2.388888888888889E-2</v>
      </c>
      <c r="L278" s="59" t="s">
        <v>1082</v>
      </c>
      <c r="M278" s="51"/>
      <c r="N278" s="51"/>
      <c r="O278" s="51"/>
      <c r="P278" s="51"/>
      <c r="Q278" s="37" t="str">
        <f t="shared" ca="1" si="0"/>
        <v/>
      </c>
      <c r="R278" s="52"/>
      <c r="S278" s="52"/>
      <c r="T278" s="52"/>
      <c r="U278" s="61"/>
      <c r="V278" s="62"/>
      <c r="W278" s="63"/>
      <c r="X278" s="64"/>
      <c r="Y278" s="18"/>
      <c r="Z278" s="18"/>
      <c r="AA278" s="18"/>
      <c r="AB278" s="18"/>
    </row>
    <row r="279" spans="1:28">
      <c r="A279" s="51">
        <v>278</v>
      </c>
      <c r="B279" s="69" t="s">
        <v>98</v>
      </c>
      <c r="C279" s="61"/>
      <c r="D279" s="51"/>
      <c r="E279" s="51" t="s">
        <v>1144</v>
      </c>
      <c r="F279" s="55" t="s">
        <v>1145</v>
      </c>
      <c r="G279" s="56"/>
      <c r="H279" s="57"/>
      <c r="I279" s="51"/>
      <c r="J279" s="51">
        <f>27*1000</f>
        <v>27000</v>
      </c>
      <c r="K279" s="58">
        <v>5.3981481481481484E-2</v>
      </c>
      <c r="L279" s="59" t="s">
        <v>1082</v>
      </c>
      <c r="M279" s="51"/>
      <c r="N279" s="51"/>
      <c r="O279" s="51"/>
      <c r="P279" s="51"/>
      <c r="Q279" s="37" t="str">
        <f t="shared" ca="1" si="0"/>
        <v/>
      </c>
      <c r="R279" s="52"/>
      <c r="S279" s="52"/>
      <c r="T279" s="52"/>
      <c r="U279" s="61"/>
      <c r="V279" s="62"/>
      <c r="W279" s="63"/>
      <c r="X279" s="64"/>
      <c r="Y279" s="18"/>
      <c r="Z279" s="18"/>
      <c r="AA279" s="18"/>
      <c r="AB279" s="18"/>
    </row>
    <row r="280" spans="1:28">
      <c r="A280" s="51">
        <v>279</v>
      </c>
      <c r="B280" s="69" t="s">
        <v>98</v>
      </c>
      <c r="C280" s="61"/>
      <c r="D280" s="51"/>
      <c r="E280" s="51" t="s">
        <v>1146</v>
      </c>
      <c r="F280" s="55" t="s">
        <v>1147</v>
      </c>
      <c r="G280" s="56"/>
      <c r="H280" s="57"/>
      <c r="I280" s="51"/>
      <c r="J280" s="51">
        <f>6.6*1000</f>
        <v>6600</v>
      </c>
      <c r="K280" s="58">
        <v>3.349537037037037E-2</v>
      </c>
      <c r="L280" s="59" t="s">
        <v>1082</v>
      </c>
      <c r="M280" s="51"/>
      <c r="N280" s="51"/>
      <c r="O280" s="51"/>
      <c r="P280" s="51"/>
      <c r="Q280" s="37" t="str">
        <f t="shared" ca="1" si="0"/>
        <v/>
      </c>
      <c r="R280" s="52"/>
      <c r="S280" s="52"/>
      <c r="T280" s="52"/>
      <c r="U280" s="61"/>
      <c r="V280" s="62"/>
      <c r="W280" s="63"/>
      <c r="X280" s="64"/>
      <c r="Y280" s="18"/>
      <c r="Z280" s="18"/>
      <c r="AA280" s="18"/>
      <c r="AB280" s="18"/>
    </row>
    <row r="281" spans="1:28">
      <c r="A281" s="51">
        <v>280</v>
      </c>
      <c r="B281" s="52"/>
      <c r="C281" s="61"/>
      <c r="D281" s="51"/>
      <c r="E281" s="51" t="s">
        <v>1148</v>
      </c>
      <c r="F281" s="55" t="s">
        <v>1149</v>
      </c>
      <c r="G281" s="56"/>
      <c r="H281" s="57"/>
      <c r="I281" s="51"/>
      <c r="J281" s="51">
        <f>7.2*1000</f>
        <v>7200</v>
      </c>
      <c r="K281" s="58">
        <v>7.1504629629629626E-2</v>
      </c>
      <c r="L281" s="59" t="s">
        <v>1082</v>
      </c>
      <c r="M281" s="51"/>
      <c r="N281" s="51"/>
      <c r="O281" s="51"/>
      <c r="P281" s="51"/>
      <c r="Q281" s="37" t="str">
        <f t="shared" ca="1" si="0"/>
        <v/>
      </c>
      <c r="R281" s="52"/>
      <c r="S281" s="52"/>
      <c r="T281" s="52"/>
      <c r="U281" s="61"/>
      <c r="V281" s="62"/>
      <c r="W281" s="63"/>
      <c r="X281" s="64"/>
      <c r="Y281" s="18"/>
      <c r="Z281" s="18"/>
      <c r="AA281" s="18"/>
      <c r="AB281" s="18"/>
    </row>
    <row r="282" spans="1:28">
      <c r="A282" s="51">
        <v>281</v>
      </c>
      <c r="B282" s="52"/>
      <c r="C282" s="61"/>
      <c r="D282" s="51"/>
      <c r="E282" s="51" t="s">
        <v>1150</v>
      </c>
      <c r="F282" s="55" t="s">
        <v>1151</v>
      </c>
      <c r="G282" s="56"/>
      <c r="H282" s="57"/>
      <c r="I282" s="51"/>
      <c r="J282" s="51">
        <f>20*1000</f>
        <v>20000</v>
      </c>
      <c r="K282" s="58">
        <v>9.6643518518518531E-2</v>
      </c>
      <c r="L282" s="59" t="s">
        <v>1082</v>
      </c>
      <c r="M282" s="51"/>
      <c r="N282" s="51"/>
      <c r="O282" s="51"/>
      <c r="P282" s="51"/>
      <c r="Q282" s="37" t="str">
        <f t="shared" ca="1" si="0"/>
        <v/>
      </c>
      <c r="R282" s="52"/>
      <c r="S282" s="52"/>
      <c r="T282" s="52"/>
      <c r="U282" s="61"/>
      <c r="V282" s="62"/>
      <c r="W282" s="63"/>
      <c r="X282" s="64"/>
      <c r="Y282" s="18"/>
      <c r="Z282" s="18"/>
      <c r="AA282" s="18"/>
      <c r="AB282" s="18"/>
    </row>
    <row r="283" spans="1:28">
      <c r="A283" s="51">
        <v>282</v>
      </c>
      <c r="B283" s="52"/>
      <c r="C283" s="61"/>
      <c r="D283" s="51"/>
      <c r="E283" s="51" t="s">
        <v>1152</v>
      </c>
      <c r="F283" s="55" t="s">
        <v>1153</v>
      </c>
      <c r="G283" s="56"/>
      <c r="H283" s="57"/>
      <c r="I283" s="51"/>
      <c r="J283" s="51">
        <f>11*1000</f>
        <v>11000</v>
      </c>
      <c r="K283" s="58">
        <v>7.0729166666666662E-2</v>
      </c>
      <c r="L283" s="59" t="s">
        <v>1082</v>
      </c>
      <c r="M283" s="51"/>
      <c r="N283" s="51"/>
      <c r="O283" s="51"/>
      <c r="P283" s="51"/>
      <c r="Q283" s="37" t="str">
        <f t="shared" ca="1" si="0"/>
        <v/>
      </c>
      <c r="R283" s="52"/>
      <c r="S283" s="52"/>
      <c r="T283" s="52"/>
      <c r="U283" s="61"/>
      <c r="V283" s="62"/>
      <c r="W283" s="63"/>
      <c r="X283" s="64"/>
      <c r="Y283" s="18"/>
      <c r="Z283" s="18"/>
      <c r="AA283" s="18"/>
      <c r="AB283" s="18"/>
    </row>
    <row r="284" spans="1:28">
      <c r="A284" s="51">
        <v>283</v>
      </c>
      <c r="B284" s="52"/>
      <c r="C284" s="61"/>
      <c r="D284" s="51"/>
      <c r="E284" s="51" t="s">
        <v>1154</v>
      </c>
      <c r="F284" s="55" t="s">
        <v>1155</v>
      </c>
      <c r="G284" s="56"/>
      <c r="H284" s="57"/>
      <c r="I284" s="51"/>
      <c r="J284" s="51">
        <f>10*1000</f>
        <v>10000</v>
      </c>
      <c r="K284" s="58">
        <v>8.3668981481481483E-2</v>
      </c>
      <c r="L284" s="59" t="s">
        <v>1082</v>
      </c>
      <c r="M284" s="51"/>
      <c r="N284" s="51"/>
      <c r="O284" s="51"/>
      <c r="P284" s="51"/>
      <c r="Q284" s="37" t="str">
        <f t="shared" ca="1" si="0"/>
        <v/>
      </c>
      <c r="R284" s="52"/>
      <c r="S284" s="52"/>
      <c r="T284" s="52"/>
      <c r="U284" s="61"/>
      <c r="V284" s="62"/>
      <c r="W284" s="63"/>
      <c r="X284" s="64"/>
      <c r="Y284" s="18"/>
      <c r="Z284" s="18"/>
      <c r="AA284" s="18"/>
      <c r="AB284" s="18"/>
    </row>
    <row r="285" spans="1:28">
      <c r="A285" s="51">
        <v>284</v>
      </c>
      <c r="B285" s="52"/>
      <c r="C285" s="61"/>
      <c r="D285" s="51"/>
      <c r="E285" s="51" t="s">
        <v>1156</v>
      </c>
      <c r="F285" s="55" t="s">
        <v>1157</v>
      </c>
      <c r="G285" s="56"/>
      <c r="H285" s="57"/>
      <c r="I285" s="51"/>
      <c r="J285" s="51">
        <f>4.7*1000</f>
        <v>4700</v>
      </c>
      <c r="K285" s="58">
        <v>7.5624999999999998E-2</v>
      </c>
      <c r="L285" s="59" t="s">
        <v>1082</v>
      </c>
      <c r="M285" s="51"/>
      <c r="N285" s="51"/>
      <c r="O285" s="51"/>
      <c r="P285" s="51"/>
      <c r="Q285" s="37" t="str">
        <f t="shared" ca="1" si="0"/>
        <v/>
      </c>
      <c r="R285" s="52"/>
      <c r="S285" s="52"/>
      <c r="T285" s="52"/>
      <c r="U285" s="61"/>
      <c r="V285" s="62"/>
      <c r="W285" s="63"/>
      <c r="X285" s="64"/>
      <c r="Y285" s="18"/>
      <c r="Z285" s="18"/>
      <c r="AA285" s="18"/>
      <c r="AB285" s="18"/>
    </row>
    <row r="286" spans="1:28">
      <c r="A286" s="51">
        <v>285</v>
      </c>
      <c r="B286" s="52"/>
      <c r="C286" s="61"/>
      <c r="D286" s="51"/>
      <c r="E286" s="51" t="s">
        <v>1158</v>
      </c>
      <c r="F286" s="55" t="s">
        <v>1159</v>
      </c>
      <c r="G286" s="56"/>
      <c r="H286" s="57"/>
      <c r="I286" s="51"/>
      <c r="J286" s="51">
        <f>6.7*1000</f>
        <v>6700</v>
      </c>
      <c r="K286" s="58">
        <v>1.8472222222222223E-2</v>
      </c>
      <c r="L286" s="59" t="s">
        <v>1082</v>
      </c>
      <c r="M286" s="51"/>
      <c r="N286" s="51"/>
      <c r="O286" s="51"/>
      <c r="P286" s="51"/>
      <c r="Q286" s="37" t="str">
        <f t="shared" ca="1" si="0"/>
        <v/>
      </c>
      <c r="R286" s="52"/>
      <c r="S286" s="52"/>
      <c r="T286" s="52"/>
      <c r="U286" s="61"/>
      <c r="V286" s="62"/>
      <c r="W286" s="63"/>
      <c r="X286" s="64"/>
      <c r="Y286" s="18"/>
      <c r="Z286" s="18"/>
      <c r="AA286" s="18"/>
      <c r="AB286" s="18"/>
    </row>
    <row r="287" spans="1:28">
      <c r="A287" s="51">
        <v>286</v>
      </c>
      <c r="B287" s="52"/>
      <c r="C287" s="61"/>
      <c r="D287" s="51"/>
      <c r="E287" s="51" t="s">
        <v>1160</v>
      </c>
      <c r="F287" s="55" t="s">
        <v>1161</v>
      </c>
      <c r="G287" s="56"/>
      <c r="H287" s="57"/>
      <c r="I287" s="51"/>
      <c r="J287" s="51">
        <f>11*1000</f>
        <v>11000</v>
      </c>
      <c r="K287" s="58">
        <v>9.5694444444444457E-2</v>
      </c>
      <c r="L287" s="59" t="s">
        <v>1162</v>
      </c>
      <c r="M287" s="51"/>
      <c r="N287" s="51"/>
      <c r="O287" s="51"/>
      <c r="P287" s="51"/>
      <c r="Q287" s="37" t="str">
        <f t="shared" ca="1" si="0"/>
        <v/>
      </c>
      <c r="R287" s="52"/>
      <c r="S287" s="52"/>
      <c r="T287" s="52"/>
      <c r="U287" s="61"/>
      <c r="V287" s="62"/>
      <c r="W287" s="63"/>
      <c r="X287" s="64"/>
      <c r="Y287" s="18"/>
      <c r="Z287" s="18"/>
      <c r="AA287" s="18"/>
      <c r="AB287" s="18"/>
    </row>
    <row r="288" spans="1:28">
      <c r="A288" s="51">
        <v>287</v>
      </c>
      <c r="B288" s="52"/>
      <c r="C288" s="61"/>
      <c r="D288" s="51"/>
      <c r="E288" s="51" t="s">
        <v>1164</v>
      </c>
      <c r="F288" s="55" t="s">
        <v>1165</v>
      </c>
      <c r="G288" s="56"/>
      <c r="H288" s="57"/>
      <c r="I288" s="51"/>
      <c r="J288" s="51">
        <f>14*1000</f>
        <v>14000</v>
      </c>
      <c r="K288" s="58">
        <v>8.5358796296296294E-2</v>
      </c>
      <c r="L288" s="59" t="s">
        <v>1162</v>
      </c>
      <c r="M288" s="51"/>
      <c r="N288" s="51"/>
      <c r="O288" s="51"/>
      <c r="P288" s="51"/>
      <c r="Q288" s="37" t="str">
        <f t="shared" ca="1" si="0"/>
        <v/>
      </c>
      <c r="R288" s="52"/>
      <c r="S288" s="52"/>
      <c r="T288" s="52"/>
      <c r="U288" s="61"/>
      <c r="V288" s="62"/>
      <c r="W288" s="63"/>
      <c r="X288" s="64"/>
      <c r="Y288" s="18"/>
      <c r="Z288" s="18"/>
      <c r="AA288" s="18"/>
      <c r="AB288" s="18"/>
    </row>
    <row r="289" spans="1:28">
      <c r="A289" s="51">
        <v>288</v>
      </c>
      <c r="B289" s="52"/>
      <c r="C289" s="61"/>
      <c r="D289" s="51"/>
      <c r="E289" s="51" t="s">
        <v>1166</v>
      </c>
      <c r="F289" s="55" t="s">
        <v>1167</v>
      </c>
      <c r="G289" s="56"/>
      <c r="H289" s="57"/>
      <c r="I289" s="51"/>
      <c r="J289" s="51">
        <f>6.9*1000</f>
        <v>6900</v>
      </c>
      <c r="K289" s="58">
        <v>5.6840277777777781E-2</v>
      </c>
      <c r="L289" s="59" t="s">
        <v>1162</v>
      </c>
      <c r="M289" s="51"/>
      <c r="N289" s="51"/>
      <c r="O289" s="51"/>
      <c r="P289" s="51"/>
      <c r="Q289" s="37" t="str">
        <f t="shared" ca="1" si="0"/>
        <v/>
      </c>
      <c r="R289" s="52"/>
      <c r="S289" s="52"/>
      <c r="T289" s="52"/>
      <c r="U289" s="61"/>
      <c r="V289" s="62"/>
      <c r="W289" s="63"/>
      <c r="X289" s="64"/>
      <c r="Y289" s="18"/>
      <c r="Z289" s="18"/>
      <c r="AA289" s="18"/>
      <c r="AB289" s="18"/>
    </row>
    <row r="290" spans="1:28">
      <c r="A290" s="51">
        <v>289</v>
      </c>
      <c r="B290" s="52"/>
      <c r="C290" s="61"/>
      <c r="D290" s="51"/>
      <c r="E290" s="51" t="s">
        <v>1169</v>
      </c>
      <c r="F290" s="55" t="s">
        <v>1170</v>
      </c>
      <c r="G290" s="56"/>
      <c r="H290" s="57"/>
      <c r="I290" s="51"/>
      <c r="J290" s="51">
        <f>22*1000</f>
        <v>22000</v>
      </c>
      <c r="K290" s="58">
        <v>7.4872685185185181E-2</v>
      </c>
      <c r="L290" s="59" t="s">
        <v>1162</v>
      </c>
      <c r="M290" s="51"/>
      <c r="N290" s="51"/>
      <c r="O290" s="51"/>
      <c r="P290" s="51"/>
      <c r="Q290" s="37" t="str">
        <f t="shared" ca="1" si="0"/>
        <v/>
      </c>
      <c r="R290" s="52"/>
      <c r="S290" s="52"/>
      <c r="T290" s="52"/>
      <c r="U290" s="61"/>
      <c r="V290" s="62"/>
      <c r="W290" s="63"/>
      <c r="X290" s="64"/>
      <c r="Y290" s="18"/>
      <c r="Z290" s="18"/>
      <c r="AA290" s="18"/>
      <c r="AB290" s="18"/>
    </row>
    <row r="291" spans="1:28">
      <c r="A291" s="51">
        <v>290</v>
      </c>
      <c r="B291" s="69" t="s">
        <v>98</v>
      </c>
      <c r="C291" s="61"/>
      <c r="D291" s="51"/>
      <c r="E291" s="51" t="s">
        <v>1171</v>
      </c>
      <c r="F291" s="55" t="s">
        <v>1172</v>
      </c>
      <c r="G291" s="56"/>
      <c r="H291" s="57"/>
      <c r="I291" s="51"/>
      <c r="J291" s="51">
        <f>13*1000</f>
        <v>13000</v>
      </c>
      <c r="K291" s="58">
        <v>8.1319444444444444E-2</v>
      </c>
      <c r="L291" s="59" t="s">
        <v>1162</v>
      </c>
      <c r="M291" s="51"/>
      <c r="N291" s="51"/>
      <c r="O291" s="51"/>
      <c r="P291" s="51"/>
      <c r="Q291" s="37" t="str">
        <f t="shared" ca="1" si="0"/>
        <v/>
      </c>
      <c r="R291" s="52"/>
      <c r="S291" s="52"/>
      <c r="T291" s="52"/>
      <c r="U291" s="61"/>
      <c r="V291" s="62"/>
      <c r="W291" s="63"/>
      <c r="X291" s="64"/>
      <c r="Y291" s="18"/>
      <c r="Z291" s="18"/>
      <c r="AA291" s="18"/>
      <c r="AB291" s="18"/>
    </row>
    <row r="292" spans="1:28">
      <c r="A292" s="51">
        <v>291</v>
      </c>
      <c r="B292" s="52"/>
      <c r="C292" s="61"/>
      <c r="D292" s="51"/>
      <c r="E292" s="51" t="s">
        <v>1173</v>
      </c>
      <c r="F292" s="55" t="s">
        <v>1174</v>
      </c>
      <c r="G292" s="56"/>
      <c r="H292" s="57"/>
      <c r="I292" s="51"/>
      <c r="J292" s="51">
        <f>51*1000</f>
        <v>51000</v>
      </c>
      <c r="K292" s="58">
        <v>6.4849537037037039E-2</v>
      </c>
      <c r="L292" s="59" t="s">
        <v>1162</v>
      </c>
      <c r="M292" s="51"/>
      <c r="N292" s="51"/>
      <c r="O292" s="51"/>
      <c r="P292" s="51"/>
      <c r="Q292" s="37" t="str">
        <f t="shared" ca="1" si="0"/>
        <v/>
      </c>
      <c r="R292" s="52"/>
      <c r="S292" s="52"/>
      <c r="T292" s="52"/>
      <c r="U292" s="61"/>
      <c r="V292" s="62"/>
      <c r="W292" s="63"/>
      <c r="X292" s="64"/>
      <c r="Y292" s="18"/>
      <c r="Z292" s="18"/>
      <c r="AA292" s="18"/>
      <c r="AB292" s="18"/>
    </row>
    <row r="293" spans="1:28">
      <c r="A293" s="51">
        <v>292</v>
      </c>
      <c r="B293" s="52"/>
      <c r="C293" s="61"/>
      <c r="D293" s="51"/>
      <c r="E293" s="51" t="s">
        <v>1175</v>
      </c>
      <c r="F293" s="55" t="s">
        <v>1176</v>
      </c>
      <c r="G293" s="56"/>
      <c r="H293" s="57"/>
      <c r="I293" s="51"/>
      <c r="J293" s="51">
        <f>11*1000</f>
        <v>11000</v>
      </c>
      <c r="K293" s="58">
        <v>4.9687499999999996E-2</v>
      </c>
      <c r="L293" s="59" t="s">
        <v>1162</v>
      </c>
      <c r="M293" s="51"/>
      <c r="N293" s="51"/>
      <c r="O293" s="51"/>
      <c r="P293" s="51"/>
      <c r="Q293" s="37" t="str">
        <f t="shared" ca="1" si="0"/>
        <v/>
      </c>
      <c r="R293" s="52"/>
      <c r="S293" s="52"/>
      <c r="T293" s="52"/>
      <c r="U293" s="61"/>
      <c r="V293" s="62"/>
      <c r="W293" s="63"/>
      <c r="X293" s="64"/>
      <c r="Y293" s="18"/>
      <c r="Z293" s="18"/>
      <c r="AA293" s="18"/>
      <c r="AB293" s="18"/>
    </row>
    <row r="294" spans="1:28">
      <c r="A294" s="51">
        <v>293</v>
      </c>
      <c r="B294" s="52"/>
      <c r="C294" s="61"/>
      <c r="D294" s="51"/>
      <c r="E294" s="51" t="s">
        <v>1178</v>
      </c>
      <c r="F294" s="55" t="s">
        <v>1179</v>
      </c>
      <c r="G294" s="56"/>
      <c r="H294" s="57"/>
      <c r="I294" s="51"/>
      <c r="J294" s="51">
        <f t="shared" ref="J294:J295" si="7">19*1000</f>
        <v>19000</v>
      </c>
      <c r="K294" s="58">
        <v>6.6412037037037033E-2</v>
      </c>
      <c r="L294" s="59" t="s">
        <v>1162</v>
      </c>
      <c r="M294" s="51"/>
      <c r="N294" s="51"/>
      <c r="O294" s="51"/>
      <c r="P294" s="51"/>
      <c r="Q294" s="37" t="str">
        <f t="shared" ca="1" si="0"/>
        <v/>
      </c>
      <c r="R294" s="52"/>
      <c r="S294" s="52"/>
      <c r="T294" s="52"/>
      <c r="U294" s="61"/>
      <c r="V294" s="62"/>
      <c r="W294" s="63"/>
      <c r="X294" s="64"/>
      <c r="Y294" s="18"/>
      <c r="Z294" s="18"/>
      <c r="AA294" s="18"/>
      <c r="AB294" s="18"/>
    </row>
    <row r="295" spans="1:28">
      <c r="A295" s="51">
        <v>294</v>
      </c>
      <c r="B295" s="52"/>
      <c r="C295" s="61"/>
      <c r="D295" s="51"/>
      <c r="E295" s="51" t="s">
        <v>1180</v>
      </c>
      <c r="F295" s="55" t="s">
        <v>1181</v>
      </c>
      <c r="G295" s="56"/>
      <c r="H295" s="57"/>
      <c r="I295" s="51"/>
      <c r="J295" s="51">
        <f t="shared" si="7"/>
        <v>19000</v>
      </c>
      <c r="K295" s="58">
        <v>1.2002314814814815E-2</v>
      </c>
      <c r="L295" s="59" t="s">
        <v>1162</v>
      </c>
      <c r="M295" s="51"/>
      <c r="N295" s="51"/>
      <c r="O295" s="51"/>
      <c r="P295" s="51"/>
      <c r="Q295" s="37" t="str">
        <f t="shared" ca="1" si="0"/>
        <v/>
      </c>
      <c r="R295" s="52"/>
      <c r="S295" s="52"/>
      <c r="T295" s="52"/>
      <c r="U295" s="61"/>
      <c r="V295" s="62"/>
      <c r="W295" s="63"/>
      <c r="X295" s="64"/>
      <c r="Y295" s="18"/>
      <c r="Z295" s="18"/>
      <c r="AA295" s="18"/>
      <c r="AB295" s="18"/>
    </row>
    <row r="296" spans="1:28">
      <c r="A296" s="51">
        <v>295</v>
      </c>
      <c r="B296" s="52"/>
      <c r="C296" s="61"/>
      <c r="D296" s="51"/>
      <c r="E296" s="51" t="s">
        <v>1182</v>
      </c>
      <c r="F296" s="55" t="s">
        <v>1183</v>
      </c>
      <c r="G296" s="56"/>
      <c r="H296" s="57"/>
      <c r="I296" s="51"/>
      <c r="J296" s="51">
        <f>3.5*1000</f>
        <v>3500</v>
      </c>
      <c r="K296" s="58">
        <v>7.5347222222222213E-3</v>
      </c>
      <c r="L296" s="59" t="s">
        <v>1162</v>
      </c>
      <c r="M296" s="51"/>
      <c r="N296" s="51"/>
      <c r="O296" s="51"/>
      <c r="P296" s="51"/>
      <c r="Q296" s="37" t="str">
        <f t="shared" ca="1" si="0"/>
        <v/>
      </c>
      <c r="R296" s="52"/>
      <c r="S296" s="52"/>
      <c r="T296" s="52"/>
      <c r="U296" s="61"/>
      <c r="V296" s="62"/>
      <c r="W296" s="63"/>
      <c r="X296" s="64"/>
      <c r="Y296" s="18"/>
      <c r="Z296" s="18"/>
      <c r="AA296" s="18"/>
      <c r="AB296" s="18"/>
    </row>
    <row r="297" spans="1:28">
      <c r="A297" s="51">
        <v>296</v>
      </c>
      <c r="B297" s="69" t="s">
        <v>98</v>
      </c>
      <c r="C297" s="61"/>
      <c r="D297" s="51"/>
      <c r="E297" s="51" t="s">
        <v>1184</v>
      </c>
      <c r="F297" s="55" t="s">
        <v>1185</v>
      </c>
      <c r="G297" s="56"/>
      <c r="H297" s="57"/>
      <c r="I297" s="51"/>
      <c r="J297" s="51">
        <f t="shared" ref="J297:J298" si="8">10*1000</f>
        <v>10000</v>
      </c>
      <c r="K297" s="58">
        <v>7.3854166666666665E-2</v>
      </c>
      <c r="L297" s="59" t="s">
        <v>1162</v>
      </c>
      <c r="M297" s="51"/>
      <c r="N297" s="51"/>
      <c r="O297" s="51"/>
      <c r="P297" s="51"/>
      <c r="Q297" s="37" t="str">
        <f t="shared" ca="1" si="0"/>
        <v/>
      </c>
      <c r="R297" s="52"/>
      <c r="S297" s="52"/>
      <c r="T297" s="52"/>
      <c r="U297" s="61"/>
      <c r="V297" s="62"/>
      <c r="W297" s="63"/>
      <c r="X297" s="64"/>
      <c r="Y297" s="18"/>
      <c r="Z297" s="18"/>
      <c r="AA297" s="18"/>
      <c r="AB297" s="18"/>
    </row>
    <row r="298" spans="1:28">
      <c r="A298" s="51">
        <v>297</v>
      </c>
      <c r="B298" s="52"/>
      <c r="C298" s="61"/>
      <c r="D298" s="51"/>
      <c r="E298" s="51" t="s">
        <v>1186</v>
      </c>
      <c r="F298" s="55" t="s">
        <v>1187</v>
      </c>
      <c r="G298" s="56"/>
      <c r="H298" s="57"/>
      <c r="I298" s="51"/>
      <c r="J298" s="51">
        <f t="shared" si="8"/>
        <v>10000</v>
      </c>
      <c r="K298" s="58">
        <v>6.8749999999999992E-2</v>
      </c>
      <c r="L298" s="59" t="s">
        <v>1162</v>
      </c>
      <c r="M298" s="51"/>
      <c r="N298" s="51"/>
      <c r="O298" s="51"/>
      <c r="P298" s="51"/>
      <c r="Q298" s="37" t="str">
        <f t="shared" ca="1" si="0"/>
        <v/>
      </c>
      <c r="R298" s="52"/>
      <c r="S298" s="52"/>
      <c r="T298" s="52"/>
      <c r="U298" s="61"/>
      <c r="V298" s="62"/>
      <c r="W298" s="63"/>
      <c r="X298" s="64"/>
      <c r="Y298" s="18"/>
      <c r="Z298" s="18"/>
      <c r="AA298" s="18"/>
      <c r="AB298" s="18"/>
    </row>
    <row r="299" spans="1:28">
      <c r="A299" s="51">
        <v>298</v>
      </c>
      <c r="B299" s="69" t="s">
        <v>98</v>
      </c>
      <c r="C299" s="61"/>
      <c r="D299" s="51"/>
      <c r="E299" s="51" t="s">
        <v>1188</v>
      </c>
      <c r="F299" s="55" t="s">
        <v>1189</v>
      </c>
      <c r="G299" s="56"/>
      <c r="H299" s="57"/>
      <c r="I299" s="51"/>
      <c r="J299" s="51">
        <f>15*1000</f>
        <v>15000</v>
      </c>
      <c r="K299" s="58">
        <v>2.1585648148148145E-2</v>
      </c>
      <c r="L299" s="59" t="s">
        <v>1162</v>
      </c>
      <c r="M299" s="51"/>
      <c r="N299" s="51"/>
      <c r="O299" s="51"/>
      <c r="P299" s="51"/>
      <c r="Q299" s="37" t="str">
        <f t="shared" ca="1" si="0"/>
        <v/>
      </c>
      <c r="R299" s="52"/>
      <c r="S299" s="52"/>
      <c r="T299" s="52"/>
      <c r="U299" s="61"/>
      <c r="V299" s="62"/>
      <c r="W299" s="63"/>
      <c r="X299" s="64"/>
      <c r="Y299" s="18"/>
      <c r="Z299" s="18"/>
      <c r="AA299" s="18"/>
      <c r="AB299" s="18"/>
    </row>
    <row r="300" spans="1:28">
      <c r="A300" s="51">
        <v>299</v>
      </c>
      <c r="B300" s="69" t="s">
        <v>98</v>
      </c>
      <c r="C300" s="61"/>
      <c r="D300" s="51"/>
      <c r="E300" s="51" t="s">
        <v>1190</v>
      </c>
      <c r="F300" s="55" t="s">
        <v>1191</v>
      </c>
      <c r="G300" s="56"/>
      <c r="H300" s="57"/>
      <c r="I300" s="51"/>
      <c r="J300" s="51">
        <f>3.1*1000</f>
        <v>3100</v>
      </c>
      <c r="K300" s="58">
        <v>6.7662037037037034E-2</v>
      </c>
      <c r="L300" s="59" t="s">
        <v>1162</v>
      </c>
      <c r="M300" s="51"/>
      <c r="N300" s="51"/>
      <c r="O300" s="51"/>
      <c r="P300" s="51"/>
      <c r="Q300" s="37" t="str">
        <f t="shared" ca="1" si="0"/>
        <v/>
      </c>
      <c r="R300" s="52"/>
      <c r="S300" s="52"/>
      <c r="T300" s="52"/>
      <c r="U300" s="61"/>
      <c r="V300" s="62"/>
      <c r="W300" s="63"/>
      <c r="X300" s="64"/>
      <c r="Y300" s="18"/>
      <c r="Z300" s="18"/>
      <c r="AA300" s="18"/>
      <c r="AB300" s="18"/>
    </row>
    <row r="301" spans="1:28">
      <c r="A301" s="51">
        <v>300</v>
      </c>
      <c r="B301" s="69" t="s">
        <v>98</v>
      </c>
      <c r="C301" s="61"/>
      <c r="D301" s="51"/>
      <c r="E301" s="51" t="s">
        <v>1192</v>
      </c>
      <c r="F301" s="55" t="s">
        <v>1193</v>
      </c>
      <c r="G301" s="56"/>
      <c r="H301" s="57"/>
      <c r="I301" s="51"/>
      <c r="J301" s="51">
        <f>27*1000</f>
        <v>27000</v>
      </c>
      <c r="K301" s="58">
        <v>0.11447916666666667</v>
      </c>
      <c r="L301" s="59" t="s">
        <v>1162</v>
      </c>
      <c r="M301" s="51"/>
      <c r="N301" s="51"/>
      <c r="O301" s="51"/>
      <c r="P301" s="51"/>
      <c r="Q301" s="37" t="str">
        <f t="shared" ca="1" si="0"/>
        <v/>
      </c>
      <c r="R301" s="52"/>
      <c r="S301" s="52"/>
      <c r="T301" s="52"/>
      <c r="U301" s="61"/>
      <c r="V301" s="62"/>
      <c r="W301" s="63"/>
      <c r="X301" s="64"/>
      <c r="Y301" s="18"/>
      <c r="Z301" s="18"/>
      <c r="AA301" s="18"/>
      <c r="AB301" s="18"/>
    </row>
    <row r="302" spans="1:28">
      <c r="A302" s="51">
        <v>301</v>
      </c>
      <c r="B302" s="69" t="s">
        <v>98</v>
      </c>
      <c r="C302" s="61"/>
      <c r="D302" s="51"/>
      <c r="E302" s="51" t="s">
        <v>1194</v>
      </c>
      <c r="F302" s="55" t="s">
        <v>1195</v>
      </c>
      <c r="G302" s="56"/>
      <c r="H302" s="57"/>
      <c r="I302" s="51"/>
      <c r="J302" s="51">
        <f>4.6*1000</f>
        <v>4600</v>
      </c>
      <c r="K302" s="58">
        <v>9.5578703703703694E-2</v>
      </c>
      <c r="L302" s="59" t="s">
        <v>1162</v>
      </c>
      <c r="M302" s="51"/>
      <c r="N302" s="51"/>
      <c r="O302" s="51"/>
      <c r="P302" s="51"/>
      <c r="Q302" s="37" t="str">
        <f t="shared" ca="1" si="0"/>
        <v/>
      </c>
      <c r="R302" s="52"/>
      <c r="S302" s="52"/>
      <c r="T302" s="52"/>
      <c r="U302" s="61"/>
      <c r="V302" s="62"/>
      <c r="W302" s="63"/>
      <c r="X302" s="64"/>
      <c r="Y302" s="18"/>
      <c r="Z302" s="18"/>
      <c r="AA302" s="18"/>
      <c r="AB302" s="18"/>
    </row>
    <row r="303" spans="1:28">
      <c r="A303" s="51">
        <v>302</v>
      </c>
      <c r="B303" s="52"/>
      <c r="C303" s="61"/>
      <c r="D303" s="51"/>
      <c r="E303" s="51" t="s">
        <v>1196</v>
      </c>
      <c r="F303" s="55" t="s">
        <v>1197</v>
      </c>
      <c r="G303" s="56"/>
      <c r="H303" s="57"/>
      <c r="I303" s="51"/>
      <c r="J303" s="51">
        <f>27*1000</f>
        <v>27000</v>
      </c>
      <c r="K303" s="58">
        <v>4.0474537037037038E-2</v>
      </c>
      <c r="L303" s="59" t="s">
        <v>1162</v>
      </c>
      <c r="M303" s="51"/>
      <c r="N303" s="51"/>
      <c r="O303" s="51"/>
      <c r="P303" s="51"/>
      <c r="Q303" s="37" t="str">
        <f t="shared" ca="1" si="0"/>
        <v/>
      </c>
      <c r="R303" s="52"/>
      <c r="S303" s="52"/>
      <c r="T303" s="52"/>
      <c r="U303" s="61"/>
      <c r="V303" s="62"/>
      <c r="W303" s="63"/>
      <c r="X303" s="64"/>
      <c r="Y303" s="18"/>
      <c r="Z303" s="18"/>
      <c r="AA303" s="18"/>
      <c r="AB303" s="18"/>
    </row>
    <row r="304" spans="1:28">
      <c r="A304" s="51">
        <v>303</v>
      </c>
      <c r="B304" s="52"/>
      <c r="C304" s="61"/>
      <c r="D304" s="51"/>
      <c r="E304" s="51" t="s">
        <v>1198</v>
      </c>
      <c r="F304" s="55" t="s">
        <v>1199</v>
      </c>
      <c r="G304" s="56"/>
      <c r="H304" s="57"/>
      <c r="I304" s="51"/>
      <c r="J304" s="51">
        <f>7.5*1000</f>
        <v>7500</v>
      </c>
      <c r="K304" s="58">
        <v>9.9988425925925925E-2</v>
      </c>
      <c r="L304" s="59" t="s">
        <v>1162</v>
      </c>
      <c r="M304" s="51"/>
      <c r="N304" s="51"/>
      <c r="O304" s="51"/>
      <c r="P304" s="51"/>
      <c r="Q304" s="37" t="str">
        <f t="shared" ca="1" si="0"/>
        <v/>
      </c>
      <c r="R304" s="52"/>
      <c r="S304" s="52"/>
      <c r="T304" s="52"/>
      <c r="U304" s="61"/>
      <c r="V304" s="62"/>
      <c r="W304" s="63"/>
      <c r="X304" s="64"/>
      <c r="Y304" s="18"/>
      <c r="Z304" s="18"/>
      <c r="AA304" s="18"/>
      <c r="AB304" s="18"/>
    </row>
    <row r="305" spans="1:28">
      <c r="A305" s="51">
        <v>304</v>
      </c>
      <c r="B305" s="52"/>
      <c r="C305" s="61"/>
      <c r="D305" s="51"/>
      <c r="E305" s="51" t="s">
        <v>1200</v>
      </c>
      <c r="F305" s="55" t="s">
        <v>1201</v>
      </c>
      <c r="G305" s="56"/>
      <c r="H305" s="57"/>
      <c r="I305" s="51"/>
      <c r="J305" s="51">
        <f>5.7*1000</f>
        <v>5700</v>
      </c>
      <c r="K305" s="58">
        <v>8.6851851851851847E-2</v>
      </c>
      <c r="L305" s="59" t="s">
        <v>1162</v>
      </c>
      <c r="M305" s="51"/>
      <c r="N305" s="51"/>
      <c r="O305" s="51"/>
      <c r="P305" s="51"/>
      <c r="Q305" s="37" t="str">
        <f t="shared" ca="1" si="0"/>
        <v/>
      </c>
      <c r="R305" s="52"/>
      <c r="S305" s="52"/>
      <c r="T305" s="52"/>
      <c r="U305" s="61"/>
      <c r="V305" s="62"/>
      <c r="W305" s="63"/>
      <c r="X305" s="64"/>
      <c r="Y305" s="18"/>
      <c r="Z305" s="18"/>
      <c r="AA305" s="18"/>
      <c r="AB305" s="18"/>
    </row>
    <row r="306" spans="1:28">
      <c r="A306" s="51">
        <v>305</v>
      </c>
      <c r="B306" s="52"/>
      <c r="C306" s="61"/>
      <c r="D306" s="51"/>
      <c r="E306" s="51" t="s">
        <v>1202</v>
      </c>
      <c r="F306" s="55" t="s">
        <v>1203</v>
      </c>
      <c r="G306" s="56"/>
      <c r="H306" s="57"/>
      <c r="I306" s="51"/>
      <c r="J306" s="51">
        <f>20*1000</f>
        <v>20000</v>
      </c>
      <c r="K306" s="58">
        <v>0.1057523148148148</v>
      </c>
      <c r="L306" s="59" t="s">
        <v>1162</v>
      </c>
      <c r="M306" s="51"/>
      <c r="N306" s="51"/>
      <c r="O306" s="51"/>
      <c r="P306" s="51"/>
      <c r="Q306" s="37" t="str">
        <f t="shared" ca="1" si="0"/>
        <v/>
      </c>
      <c r="R306" s="52"/>
      <c r="S306" s="52"/>
      <c r="T306" s="52"/>
      <c r="U306" s="61"/>
      <c r="V306" s="62"/>
      <c r="W306" s="63"/>
      <c r="X306" s="64"/>
      <c r="Y306" s="18"/>
      <c r="Z306" s="18"/>
      <c r="AA306" s="18"/>
      <c r="AB306" s="18"/>
    </row>
    <row r="307" spans="1:28">
      <c r="A307" s="51">
        <v>306</v>
      </c>
      <c r="B307" s="52"/>
      <c r="C307" s="61"/>
      <c r="D307" s="51"/>
      <c r="E307" s="51" t="s">
        <v>1204</v>
      </c>
      <c r="F307" s="55" t="s">
        <v>1205</v>
      </c>
      <c r="G307" s="56"/>
      <c r="H307" s="57"/>
      <c r="I307" s="51"/>
      <c r="J307" s="51">
        <f>6.3*1000</f>
        <v>6300</v>
      </c>
      <c r="K307" s="58">
        <v>5.4166666666666669E-2</v>
      </c>
      <c r="L307" s="59" t="s">
        <v>1162</v>
      </c>
      <c r="M307" s="51"/>
      <c r="N307" s="51"/>
      <c r="O307" s="51"/>
      <c r="P307" s="51"/>
      <c r="Q307" s="37" t="str">
        <f t="shared" ca="1" si="0"/>
        <v/>
      </c>
      <c r="R307" s="52"/>
      <c r="S307" s="52"/>
      <c r="T307" s="52"/>
      <c r="U307" s="61"/>
      <c r="V307" s="62"/>
      <c r="W307" s="63"/>
      <c r="X307" s="64"/>
      <c r="Y307" s="18"/>
      <c r="Z307" s="18"/>
      <c r="AA307" s="18"/>
      <c r="AB307" s="18"/>
    </row>
    <row r="308" spans="1:28">
      <c r="A308" s="51">
        <v>307</v>
      </c>
      <c r="B308" s="52"/>
      <c r="C308" s="61"/>
      <c r="D308" s="51"/>
      <c r="E308" s="51" t="s">
        <v>1206</v>
      </c>
      <c r="F308" s="55" t="s">
        <v>1207</v>
      </c>
      <c r="G308" s="56"/>
      <c r="H308" s="57"/>
      <c r="I308" s="51"/>
      <c r="J308" s="51">
        <f>6.8*1000</f>
        <v>6800</v>
      </c>
      <c r="K308" s="58">
        <v>7.5856481481481483E-2</v>
      </c>
      <c r="L308" s="59" t="s">
        <v>1162</v>
      </c>
      <c r="M308" s="51"/>
      <c r="N308" s="51"/>
      <c r="O308" s="51"/>
      <c r="P308" s="51"/>
      <c r="Q308" s="37" t="str">
        <f t="shared" ca="1" si="0"/>
        <v/>
      </c>
      <c r="R308" s="52"/>
      <c r="S308" s="52"/>
      <c r="T308" s="52"/>
      <c r="U308" s="61"/>
      <c r="V308" s="62"/>
      <c r="W308" s="63"/>
      <c r="X308" s="64"/>
      <c r="Y308" s="18"/>
      <c r="Z308" s="18"/>
      <c r="AA308" s="18"/>
      <c r="AB308" s="18"/>
    </row>
    <row r="309" spans="1:28">
      <c r="A309" s="51">
        <v>308</v>
      </c>
      <c r="B309" s="52"/>
      <c r="C309" s="61"/>
      <c r="D309" s="51"/>
      <c r="E309" s="51" t="s">
        <v>1208</v>
      </c>
      <c r="F309" s="55" t="s">
        <v>1209</v>
      </c>
      <c r="G309" s="56"/>
      <c r="H309" s="57"/>
      <c r="I309" s="51"/>
      <c r="J309" s="51">
        <f>9.9*1000</f>
        <v>9900</v>
      </c>
      <c r="K309" s="58">
        <v>6.2291666666666669E-2</v>
      </c>
      <c r="L309" s="59" t="s">
        <v>1162</v>
      </c>
      <c r="M309" s="51"/>
      <c r="N309" s="51"/>
      <c r="O309" s="51"/>
      <c r="P309" s="51"/>
      <c r="Q309" s="37" t="str">
        <f t="shared" ca="1" si="0"/>
        <v/>
      </c>
      <c r="R309" s="52"/>
      <c r="S309" s="52"/>
      <c r="T309" s="52"/>
      <c r="U309" s="61"/>
      <c r="V309" s="62"/>
      <c r="W309" s="63"/>
      <c r="X309" s="64"/>
      <c r="Y309" s="18"/>
      <c r="Z309" s="18"/>
      <c r="AA309" s="18"/>
      <c r="AB309" s="18"/>
    </row>
    <row r="310" spans="1:28">
      <c r="A310" s="51">
        <v>309</v>
      </c>
      <c r="B310" s="52"/>
      <c r="C310" s="61"/>
      <c r="D310" s="51"/>
      <c r="E310" s="51" t="s">
        <v>1210</v>
      </c>
      <c r="F310" s="55" t="s">
        <v>1211</v>
      </c>
      <c r="G310" s="56"/>
      <c r="H310" s="57"/>
      <c r="I310" s="51"/>
      <c r="J310" s="51">
        <f>849</f>
        <v>849</v>
      </c>
      <c r="K310" s="58">
        <v>3.9004629629629632E-3</v>
      </c>
      <c r="L310" s="59" t="s">
        <v>1162</v>
      </c>
      <c r="M310" s="51"/>
      <c r="N310" s="51"/>
      <c r="O310" s="51"/>
      <c r="P310" s="51"/>
      <c r="Q310" s="37" t="str">
        <f t="shared" ca="1" si="0"/>
        <v/>
      </c>
      <c r="R310" s="52"/>
      <c r="S310" s="52"/>
      <c r="T310" s="52"/>
      <c r="U310" s="61"/>
      <c r="V310" s="62"/>
      <c r="W310" s="63"/>
      <c r="X310" s="64"/>
      <c r="Y310" s="18"/>
      <c r="Z310" s="18"/>
      <c r="AA310" s="18"/>
      <c r="AB310" s="18"/>
    </row>
    <row r="311" spans="1:28">
      <c r="A311" s="51">
        <v>310</v>
      </c>
      <c r="B311" s="52"/>
      <c r="C311" s="61"/>
      <c r="D311" s="51"/>
      <c r="E311" s="51" t="s">
        <v>1212</v>
      </c>
      <c r="F311" s="55" t="s">
        <v>1213</v>
      </c>
      <c r="G311" s="56"/>
      <c r="H311" s="57"/>
      <c r="I311" s="51"/>
      <c r="J311" s="51">
        <f>799</f>
        <v>799</v>
      </c>
      <c r="K311" s="58">
        <v>3.8541666666666668E-3</v>
      </c>
      <c r="L311" s="59" t="s">
        <v>1162</v>
      </c>
      <c r="M311" s="51"/>
      <c r="N311" s="51"/>
      <c r="O311" s="51"/>
      <c r="P311" s="51"/>
      <c r="Q311" s="37" t="str">
        <f t="shared" ca="1" si="0"/>
        <v/>
      </c>
      <c r="R311" s="52"/>
      <c r="S311" s="52"/>
      <c r="T311" s="52"/>
      <c r="U311" s="61"/>
      <c r="V311" s="62"/>
      <c r="W311" s="63"/>
      <c r="X311" s="64"/>
      <c r="Y311" s="18"/>
      <c r="Z311" s="18"/>
      <c r="AA311" s="18"/>
      <c r="AB311" s="18"/>
    </row>
    <row r="312" spans="1:28">
      <c r="A312" s="51">
        <v>311</v>
      </c>
      <c r="B312" s="52"/>
      <c r="C312" s="61"/>
      <c r="D312" s="51"/>
      <c r="E312" s="51" t="s">
        <v>1214</v>
      </c>
      <c r="F312" s="55" t="s">
        <v>1215</v>
      </c>
      <c r="G312" s="56"/>
      <c r="H312" s="57"/>
      <c r="I312" s="51"/>
      <c r="J312" s="51">
        <f t="shared" ref="J312:J313" si="9">1.4*1000</f>
        <v>1400</v>
      </c>
      <c r="K312" s="58">
        <v>4.8726851851851856E-3</v>
      </c>
      <c r="L312" s="59" t="s">
        <v>1162</v>
      </c>
      <c r="M312" s="51"/>
      <c r="N312" s="51"/>
      <c r="O312" s="51"/>
      <c r="P312" s="51"/>
      <c r="Q312" s="37" t="str">
        <f t="shared" ca="1" si="0"/>
        <v/>
      </c>
      <c r="R312" s="52"/>
      <c r="S312" s="52"/>
      <c r="T312" s="52"/>
      <c r="U312" s="61"/>
      <c r="V312" s="62"/>
      <c r="W312" s="63"/>
      <c r="X312" s="64"/>
      <c r="Y312" s="18"/>
      <c r="Z312" s="18"/>
      <c r="AA312" s="18"/>
      <c r="AB312" s="18"/>
    </row>
    <row r="313" spans="1:28">
      <c r="A313" s="51">
        <v>312</v>
      </c>
      <c r="B313" s="52"/>
      <c r="C313" s="61"/>
      <c r="D313" s="51"/>
      <c r="E313" s="51" t="s">
        <v>1216</v>
      </c>
      <c r="F313" s="55" t="s">
        <v>1217</v>
      </c>
      <c r="G313" s="56"/>
      <c r="H313" s="57"/>
      <c r="I313" s="51"/>
      <c r="J313" s="51">
        <f t="shared" si="9"/>
        <v>1400</v>
      </c>
      <c r="K313" s="58">
        <v>8.7499999999999991E-3</v>
      </c>
      <c r="L313" s="59" t="s">
        <v>1162</v>
      </c>
      <c r="M313" s="51"/>
      <c r="N313" s="51"/>
      <c r="O313" s="51"/>
      <c r="P313" s="51"/>
      <c r="Q313" s="37" t="str">
        <f t="shared" ca="1" si="0"/>
        <v/>
      </c>
      <c r="R313" s="52"/>
      <c r="S313" s="52"/>
      <c r="T313" s="52"/>
      <c r="U313" s="61"/>
      <c r="V313" s="62"/>
      <c r="W313" s="63"/>
      <c r="X313" s="64"/>
      <c r="Y313" s="18"/>
      <c r="Z313" s="18"/>
      <c r="AA313" s="18"/>
      <c r="AB313" s="18"/>
    </row>
    <row r="314" spans="1:28">
      <c r="A314" s="51">
        <v>313</v>
      </c>
      <c r="B314" s="52"/>
      <c r="C314" s="61"/>
      <c r="D314" s="51"/>
      <c r="E314" s="51" t="s">
        <v>1218</v>
      </c>
      <c r="F314" s="55" t="s">
        <v>1219</v>
      </c>
      <c r="G314" s="56"/>
      <c r="H314" s="57"/>
      <c r="I314" s="51"/>
      <c r="J314" s="51">
        <f>3.5*1000</f>
        <v>3500</v>
      </c>
      <c r="K314" s="58">
        <v>1.1180555555555556E-2</v>
      </c>
      <c r="L314" s="59" t="s">
        <v>1162</v>
      </c>
      <c r="M314" s="51"/>
      <c r="N314" s="51"/>
      <c r="O314" s="51"/>
      <c r="P314" s="51"/>
      <c r="Q314" s="37" t="str">
        <f t="shared" ca="1" si="0"/>
        <v/>
      </c>
      <c r="R314" s="52"/>
      <c r="S314" s="52"/>
      <c r="T314" s="52"/>
      <c r="U314" s="61"/>
      <c r="V314" s="62"/>
      <c r="W314" s="63"/>
      <c r="X314" s="64"/>
      <c r="Y314" s="18"/>
      <c r="Z314" s="18"/>
      <c r="AA314" s="18"/>
      <c r="AB314" s="18"/>
    </row>
    <row r="315" spans="1:28">
      <c r="A315" s="51">
        <v>314</v>
      </c>
      <c r="B315" s="52"/>
      <c r="C315" s="61"/>
      <c r="D315" s="51"/>
      <c r="E315" s="51" t="s">
        <v>1220</v>
      </c>
      <c r="F315" s="55" t="s">
        <v>1221</v>
      </c>
      <c r="G315" s="56"/>
      <c r="H315" s="57"/>
      <c r="I315" s="51"/>
      <c r="J315" s="51">
        <f>2.6*1000</f>
        <v>2600</v>
      </c>
      <c r="K315" s="58">
        <v>2.4664351851851851E-2</v>
      </c>
      <c r="L315" s="59" t="s">
        <v>1162</v>
      </c>
      <c r="M315" s="51"/>
      <c r="N315" s="51"/>
      <c r="O315" s="51"/>
      <c r="P315" s="51"/>
      <c r="Q315" s="37" t="str">
        <f t="shared" ca="1" si="0"/>
        <v/>
      </c>
      <c r="R315" s="52"/>
      <c r="S315" s="52"/>
      <c r="T315" s="52"/>
      <c r="U315" s="61"/>
      <c r="V315" s="62"/>
      <c r="W315" s="63"/>
      <c r="X315" s="64"/>
      <c r="Y315" s="18"/>
      <c r="Z315" s="18"/>
      <c r="AA315" s="18"/>
      <c r="AB315" s="18"/>
    </row>
    <row r="316" spans="1:28">
      <c r="A316" s="51">
        <v>315</v>
      </c>
      <c r="B316" s="52"/>
      <c r="C316" s="61"/>
      <c r="D316" s="51"/>
      <c r="E316" s="51" t="s">
        <v>1222</v>
      </c>
      <c r="F316" s="55" t="s">
        <v>1223</v>
      </c>
      <c r="G316" s="56"/>
      <c r="H316" s="57"/>
      <c r="I316" s="51"/>
      <c r="J316" s="51">
        <f>2.9*1000</f>
        <v>2900</v>
      </c>
      <c r="K316" s="58">
        <v>2.2835648148148147E-2</v>
      </c>
      <c r="L316" s="59" t="s">
        <v>1162</v>
      </c>
      <c r="M316" s="51"/>
      <c r="N316" s="51"/>
      <c r="O316" s="51"/>
      <c r="P316" s="51"/>
      <c r="Q316" s="37" t="str">
        <f t="shared" ca="1" si="0"/>
        <v/>
      </c>
      <c r="R316" s="52"/>
      <c r="S316" s="52"/>
      <c r="T316" s="52"/>
      <c r="U316" s="61"/>
      <c r="V316" s="62"/>
      <c r="W316" s="63"/>
      <c r="X316" s="64"/>
      <c r="Y316" s="18"/>
      <c r="Z316" s="18"/>
      <c r="AA316" s="18"/>
      <c r="AB316" s="18"/>
    </row>
    <row r="317" spans="1:28">
      <c r="A317" s="51">
        <v>316</v>
      </c>
      <c r="B317" s="52"/>
      <c r="C317" s="61"/>
      <c r="D317" s="51"/>
      <c r="E317" s="51" t="s">
        <v>1224</v>
      </c>
      <c r="F317" s="55" t="s">
        <v>1225</v>
      </c>
      <c r="G317" s="56"/>
      <c r="H317" s="57"/>
      <c r="I317" s="51"/>
      <c r="J317" s="51">
        <f>6*1000</f>
        <v>6000</v>
      </c>
      <c r="K317" s="58">
        <v>2.0949074074074075E-2</v>
      </c>
      <c r="L317" s="59" t="s">
        <v>1162</v>
      </c>
      <c r="M317" s="51"/>
      <c r="N317" s="51"/>
      <c r="O317" s="51"/>
      <c r="P317" s="51"/>
      <c r="Q317" s="37" t="str">
        <f t="shared" ca="1" si="0"/>
        <v/>
      </c>
      <c r="R317" s="52"/>
      <c r="S317" s="52"/>
      <c r="T317" s="52"/>
      <c r="U317" s="61"/>
      <c r="V317" s="62"/>
      <c r="W317" s="63"/>
      <c r="X317" s="64"/>
      <c r="Y317" s="18"/>
      <c r="Z317" s="18"/>
      <c r="AA317" s="18"/>
      <c r="AB317" s="18"/>
    </row>
    <row r="318" spans="1:28">
      <c r="A318" s="51">
        <v>317</v>
      </c>
      <c r="B318" s="52"/>
      <c r="C318" s="61"/>
      <c r="D318" s="51"/>
      <c r="E318" s="51" t="s">
        <v>1226</v>
      </c>
      <c r="F318" s="55" t="s">
        <v>1227</v>
      </c>
      <c r="G318" s="56"/>
      <c r="H318" s="57"/>
      <c r="I318" s="51"/>
      <c r="J318" s="51">
        <f>3*1000</f>
        <v>3000</v>
      </c>
      <c r="K318" s="58">
        <v>1.1597222222222222E-2</v>
      </c>
      <c r="L318" s="59" t="s">
        <v>1162</v>
      </c>
      <c r="M318" s="51"/>
      <c r="N318" s="51"/>
      <c r="O318" s="51"/>
      <c r="P318" s="51"/>
      <c r="Q318" s="37" t="str">
        <f t="shared" ca="1" si="0"/>
        <v/>
      </c>
      <c r="R318" s="52"/>
      <c r="S318" s="52"/>
      <c r="T318" s="52"/>
      <c r="U318" s="61"/>
      <c r="V318" s="62"/>
      <c r="W318" s="63"/>
      <c r="X318" s="64"/>
      <c r="Y318" s="18"/>
      <c r="Z318" s="18"/>
      <c r="AA318" s="18"/>
      <c r="AB318" s="18"/>
    </row>
    <row r="319" spans="1:28">
      <c r="A319" s="51">
        <v>318</v>
      </c>
      <c r="B319" s="69" t="s">
        <v>98</v>
      </c>
      <c r="C319" s="61"/>
      <c r="D319" s="51"/>
      <c r="E319" s="51" t="s">
        <v>1228</v>
      </c>
      <c r="F319" s="55" t="s">
        <v>1229</v>
      </c>
      <c r="G319" s="56"/>
      <c r="H319" s="57"/>
      <c r="I319" s="51"/>
      <c r="J319" s="51">
        <f>70*1000</f>
        <v>70000</v>
      </c>
      <c r="K319" s="58">
        <v>6.6006944444444438E-2</v>
      </c>
      <c r="L319" s="59" t="s">
        <v>1162</v>
      </c>
      <c r="M319" s="51"/>
      <c r="N319" s="51"/>
      <c r="O319" s="51"/>
      <c r="P319" s="51"/>
      <c r="Q319" s="37" t="str">
        <f t="shared" ca="1" si="0"/>
        <v/>
      </c>
      <c r="R319" s="52"/>
      <c r="S319" s="52"/>
      <c r="T319" s="52"/>
      <c r="U319" s="61"/>
      <c r="V319" s="62"/>
      <c r="W319" s="63"/>
      <c r="X319" s="64"/>
      <c r="Y319" s="18"/>
      <c r="Z319" s="18"/>
      <c r="AA319" s="18"/>
      <c r="AB319" s="18"/>
    </row>
    <row r="320" spans="1:28">
      <c r="A320" s="51">
        <v>319</v>
      </c>
      <c r="B320" s="69" t="s">
        <v>98</v>
      </c>
      <c r="C320" s="61"/>
      <c r="D320" s="51"/>
      <c r="E320" s="51" t="s">
        <v>1230</v>
      </c>
      <c r="F320" s="55" t="s">
        <v>1231</v>
      </c>
      <c r="G320" s="56"/>
      <c r="H320" s="57"/>
      <c r="I320" s="51"/>
      <c r="J320" s="51">
        <f>28*1000</f>
        <v>28000</v>
      </c>
      <c r="K320" s="58">
        <v>9.2581018518518521E-2</v>
      </c>
      <c r="L320" s="59" t="s">
        <v>1162</v>
      </c>
      <c r="M320" s="51"/>
      <c r="N320" s="51"/>
      <c r="O320" s="51"/>
      <c r="P320" s="51"/>
      <c r="Q320" s="37" t="str">
        <f t="shared" ca="1" si="0"/>
        <v/>
      </c>
      <c r="R320" s="52"/>
      <c r="S320" s="52"/>
      <c r="T320" s="52"/>
      <c r="U320" s="61"/>
      <c r="V320" s="62"/>
      <c r="W320" s="63"/>
      <c r="X320" s="64"/>
      <c r="Y320" s="18"/>
      <c r="Z320" s="18"/>
      <c r="AA320" s="18"/>
      <c r="AB320" s="18"/>
    </row>
    <row r="321" spans="1:28">
      <c r="A321" s="51">
        <v>320</v>
      </c>
      <c r="B321" s="52"/>
      <c r="C321" s="61"/>
      <c r="D321" s="51"/>
      <c r="E321" s="51" t="s">
        <v>1232</v>
      </c>
      <c r="F321" s="55" t="s">
        <v>1233</v>
      </c>
      <c r="G321" s="56"/>
      <c r="H321" s="57"/>
      <c r="I321" s="51"/>
      <c r="J321" s="51">
        <f>1.9*1000</f>
        <v>1900</v>
      </c>
      <c r="K321" s="58">
        <v>2.4652777777777776E-3</v>
      </c>
      <c r="L321" s="59" t="s">
        <v>1162</v>
      </c>
      <c r="M321" s="51"/>
      <c r="N321" s="51"/>
      <c r="O321" s="51"/>
      <c r="P321" s="51"/>
      <c r="Q321" s="37" t="str">
        <f t="shared" ca="1" si="0"/>
        <v/>
      </c>
      <c r="R321" s="52"/>
      <c r="S321" s="52"/>
      <c r="T321" s="52"/>
      <c r="U321" s="61"/>
      <c r="V321" s="62"/>
      <c r="W321" s="63"/>
      <c r="X321" s="64"/>
      <c r="Y321" s="18"/>
      <c r="Z321" s="18"/>
      <c r="AA321" s="18"/>
      <c r="AB321" s="18"/>
    </row>
    <row r="322" spans="1:28">
      <c r="A322" s="51">
        <v>321</v>
      </c>
      <c r="B322" s="52"/>
      <c r="C322" s="61"/>
      <c r="D322" s="51"/>
      <c r="E322" s="51" t="s">
        <v>1234</v>
      </c>
      <c r="F322" s="55" t="s">
        <v>1235</v>
      </c>
      <c r="G322" s="56"/>
      <c r="H322" s="57"/>
      <c r="I322" s="51"/>
      <c r="J322" s="51">
        <f>2.1*1000</f>
        <v>2100</v>
      </c>
      <c r="K322" s="58">
        <v>1.712962962962963E-3</v>
      </c>
      <c r="L322" s="59" t="s">
        <v>1162</v>
      </c>
      <c r="M322" s="51"/>
      <c r="N322" s="51"/>
      <c r="O322" s="51"/>
      <c r="P322" s="51"/>
      <c r="Q322" s="37" t="str">
        <f t="shared" ca="1" si="0"/>
        <v/>
      </c>
      <c r="R322" s="52"/>
      <c r="S322" s="52"/>
      <c r="T322" s="52"/>
      <c r="U322" s="61"/>
      <c r="V322" s="62"/>
      <c r="W322" s="63"/>
      <c r="X322" s="64"/>
      <c r="Y322" s="18"/>
      <c r="Z322" s="18"/>
      <c r="AA322" s="18"/>
      <c r="AB322" s="18"/>
    </row>
    <row r="323" spans="1:28">
      <c r="A323" s="51">
        <v>322</v>
      </c>
      <c r="B323" s="52"/>
      <c r="C323" s="61"/>
      <c r="D323" s="51"/>
      <c r="E323" s="51" t="s">
        <v>1236</v>
      </c>
      <c r="F323" s="55" t="s">
        <v>1237</v>
      </c>
      <c r="G323" s="56"/>
      <c r="H323" s="57"/>
      <c r="I323" s="51"/>
      <c r="J323" s="51">
        <f>7.6*1000</f>
        <v>7600</v>
      </c>
      <c r="K323" s="58">
        <v>3.4490740740740745E-3</v>
      </c>
      <c r="L323" s="59" t="s">
        <v>1162</v>
      </c>
      <c r="M323" s="51"/>
      <c r="N323" s="51"/>
      <c r="O323" s="51"/>
      <c r="P323" s="51"/>
      <c r="Q323" s="37" t="str">
        <f t="shared" ca="1" si="0"/>
        <v/>
      </c>
      <c r="R323" s="52"/>
      <c r="S323" s="52"/>
      <c r="T323" s="52"/>
      <c r="U323" s="61"/>
      <c r="V323" s="62"/>
      <c r="W323" s="63"/>
      <c r="X323" s="64"/>
      <c r="Y323" s="18"/>
      <c r="Z323" s="18"/>
      <c r="AA323" s="18"/>
      <c r="AB323" s="18"/>
    </row>
    <row r="324" spans="1:28">
      <c r="A324" s="51">
        <v>323</v>
      </c>
      <c r="B324" s="52"/>
      <c r="C324" s="61"/>
      <c r="D324" s="51"/>
      <c r="E324" s="51" t="s">
        <v>1238</v>
      </c>
      <c r="F324" s="55" t="s">
        <v>1239</v>
      </c>
      <c r="G324" s="56"/>
      <c r="H324" s="57"/>
      <c r="I324" s="51"/>
      <c r="J324" s="51">
        <f>944</f>
        <v>944</v>
      </c>
      <c r="K324" s="58">
        <v>9.479166666666667E-3</v>
      </c>
      <c r="L324" s="59" t="s">
        <v>1162</v>
      </c>
      <c r="M324" s="51"/>
      <c r="N324" s="51"/>
      <c r="O324" s="51"/>
      <c r="P324" s="51"/>
      <c r="Q324" s="37" t="str">
        <f t="shared" ca="1" si="0"/>
        <v/>
      </c>
      <c r="R324" s="52"/>
      <c r="S324" s="52"/>
      <c r="T324" s="52"/>
      <c r="U324" s="61"/>
      <c r="V324" s="62"/>
      <c r="W324" s="63"/>
      <c r="X324" s="64"/>
      <c r="Y324" s="18"/>
      <c r="Z324" s="18"/>
      <c r="AA324" s="18"/>
      <c r="AB324" s="18"/>
    </row>
    <row r="325" spans="1:28">
      <c r="A325" s="51">
        <v>324</v>
      </c>
      <c r="B325" s="52"/>
      <c r="C325" s="61"/>
      <c r="D325" s="51"/>
      <c r="E325" s="51" t="s">
        <v>1240</v>
      </c>
      <c r="F325" s="55" t="s">
        <v>1241</v>
      </c>
      <c r="G325" s="56"/>
      <c r="H325" s="57"/>
      <c r="I325" s="51"/>
      <c r="J325" s="51">
        <f>545</f>
        <v>545</v>
      </c>
      <c r="K325" s="58">
        <v>1.5972222222222221E-3</v>
      </c>
      <c r="L325" s="59" t="s">
        <v>1162</v>
      </c>
      <c r="M325" s="51"/>
      <c r="N325" s="51"/>
      <c r="O325" s="51"/>
      <c r="P325" s="51"/>
      <c r="Q325" s="37" t="str">
        <f t="shared" ca="1" si="0"/>
        <v/>
      </c>
      <c r="R325" s="52"/>
      <c r="S325" s="52"/>
      <c r="T325" s="52"/>
      <c r="U325" s="61"/>
      <c r="V325" s="62"/>
      <c r="W325" s="63"/>
      <c r="X325" s="64"/>
      <c r="Y325" s="18"/>
      <c r="Z325" s="18"/>
      <c r="AA325" s="18"/>
      <c r="AB325" s="18"/>
    </row>
    <row r="326" spans="1:28">
      <c r="A326" s="51">
        <v>325</v>
      </c>
      <c r="B326" s="52"/>
      <c r="C326" s="61"/>
      <c r="D326" s="51"/>
      <c r="E326" s="51" t="s">
        <v>1242</v>
      </c>
      <c r="F326" s="55" t="s">
        <v>1243</v>
      </c>
      <c r="G326" s="56"/>
      <c r="H326" s="57"/>
      <c r="I326" s="51"/>
      <c r="J326" s="51">
        <f>626</f>
        <v>626</v>
      </c>
      <c r="K326" s="58">
        <v>1.5740740740740741E-3</v>
      </c>
      <c r="L326" s="59" t="s">
        <v>1162</v>
      </c>
      <c r="M326" s="51"/>
      <c r="N326" s="51"/>
      <c r="O326" s="51"/>
      <c r="P326" s="51"/>
      <c r="Q326" s="37" t="str">
        <f t="shared" ca="1" si="0"/>
        <v/>
      </c>
      <c r="R326" s="52"/>
      <c r="S326" s="52"/>
      <c r="T326" s="52"/>
      <c r="U326" s="61"/>
      <c r="V326" s="62"/>
      <c r="W326" s="63"/>
      <c r="X326" s="64"/>
      <c r="Y326" s="18"/>
      <c r="Z326" s="18"/>
      <c r="AA326" s="18"/>
      <c r="AB326" s="18"/>
    </row>
    <row r="327" spans="1:28">
      <c r="A327" s="51">
        <v>326</v>
      </c>
      <c r="B327" s="52"/>
      <c r="C327" s="61"/>
      <c r="D327" s="51"/>
      <c r="E327" s="51" t="s">
        <v>1244</v>
      </c>
      <c r="F327" s="55" t="s">
        <v>1245</v>
      </c>
      <c r="G327" s="56"/>
      <c r="H327" s="57"/>
      <c r="I327" s="51"/>
      <c r="J327" s="51">
        <f>1.5*1000</f>
        <v>1500</v>
      </c>
      <c r="K327" s="58">
        <v>5.4861111111111117E-3</v>
      </c>
      <c r="L327" s="59" t="s">
        <v>1162</v>
      </c>
      <c r="M327" s="51"/>
      <c r="N327" s="51"/>
      <c r="O327" s="51"/>
      <c r="P327" s="51"/>
      <c r="Q327" s="37" t="str">
        <f t="shared" ca="1" si="0"/>
        <v/>
      </c>
      <c r="R327" s="52"/>
      <c r="S327" s="52"/>
      <c r="T327" s="52"/>
      <c r="U327" s="61"/>
      <c r="V327" s="62"/>
      <c r="W327" s="63"/>
      <c r="X327" s="64"/>
      <c r="Y327" s="18"/>
      <c r="Z327" s="18"/>
      <c r="AA327" s="18"/>
      <c r="AB327" s="18"/>
    </row>
    <row r="328" spans="1:28">
      <c r="A328" s="51">
        <v>327</v>
      </c>
      <c r="B328" s="52"/>
      <c r="C328" s="61"/>
      <c r="D328" s="51"/>
      <c r="E328" s="51" t="s">
        <v>1246</v>
      </c>
      <c r="F328" s="55" t="s">
        <v>1247</v>
      </c>
      <c r="G328" s="56"/>
      <c r="H328" s="57"/>
      <c r="I328" s="51"/>
      <c r="J328" s="51">
        <f>1.6*1000</f>
        <v>1600</v>
      </c>
      <c r="K328" s="58">
        <v>5.0694444444444441E-3</v>
      </c>
      <c r="L328" s="59" t="s">
        <v>1162</v>
      </c>
      <c r="M328" s="51"/>
      <c r="N328" s="51"/>
      <c r="O328" s="51"/>
      <c r="P328" s="51"/>
      <c r="Q328" s="37" t="str">
        <f t="shared" ca="1" si="0"/>
        <v/>
      </c>
      <c r="R328" s="52"/>
      <c r="S328" s="52"/>
      <c r="T328" s="52"/>
      <c r="U328" s="61"/>
      <c r="V328" s="62"/>
      <c r="W328" s="63"/>
      <c r="X328" s="64"/>
      <c r="Y328" s="18"/>
      <c r="Z328" s="18"/>
      <c r="AA328" s="18"/>
      <c r="AB328" s="18"/>
    </row>
    <row r="329" spans="1:28">
      <c r="A329" s="51">
        <v>328</v>
      </c>
      <c r="B329" s="69" t="s">
        <v>127</v>
      </c>
      <c r="C329" s="61"/>
      <c r="D329" s="51"/>
      <c r="E329" s="51" t="s">
        <v>1248</v>
      </c>
      <c r="F329" s="55" t="s">
        <v>1249</v>
      </c>
      <c r="G329" s="56"/>
      <c r="H329" s="57"/>
      <c r="I329" s="51"/>
      <c r="J329" s="51">
        <f>16*1000</f>
        <v>16000</v>
      </c>
      <c r="K329" s="58">
        <v>6.0740740740740741E-2</v>
      </c>
      <c r="L329" s="59" t="s">
        <v>1162</v>
      </c>
      <c r="M329" s="51"/>
      <c r="N329" s="51"/>
      <c r="O329" s="51"/>
      <c r="P329" s="51"/>
      <c r="Q329" s="37" t="str">
        <f t="shared" ca="1" si="0"/>
        <v/>
      </c>
      <c r="R329" s="52"/>
      <c r="S329" s="52"/>
      <c r="T329" s="52"/>
      <c r="U329" s="61"/>
      <c r="V329" s="62"/>
      <c r="W329" s="63"/>
      <c r="X329" s="64"/>
      <c r="Y329" s="18"/>
      <c r="Z329" s="18"/>
      <c r="AA329" s="18"/>
      <c r="AB329" s="18"/>
    </row>
    <row r="330" spans="1:28">
      <c r="A330" s="51">
        <v>329</v>
      </c>
      <c r="B330" s="52"/>
      <c r="C330" s="61"/>
      <c r="D330" s="51"/>
      <c r="E330" s="51" t="s">
        <v>1250</v>
      </c>
      <c r="F330" s="55" t="s">
        <v>1251</v>
      </c>
      <c r="G330" s="56"/>
      <c r="H330" s="57"/>
      <c r="I330" s="51"/>
      <c r="J330" s="51">
        <f>1.5*1000</f>
        <v>1500</v>
      </c>
      <c r="K330" s="58">
        <v>2.0023148148148148E-3</v>
      </c>
      <c r="L330" s="59" t="s">
        <v>1162</v>
      </c>
      <c r="M330" s="51"/>
      <c r="N330" s="51"/>
      <c r="O330" s="51"/>
      <c r="P330" s="51"/>
      <c r="Q330" s="37" t="str">
        <f t="shared" ca="1" si="0"/>
        <v/>
      </c>
      <c r="R330" s="52"/>
      <c r="S330" s="52"/>
      <c r="T330" s="52"/>
      <c r="U330" s="61"/>
      <c r="V330" s="62"/>
      <c r="W330" s="63"/>
      <c r="X330" s="64"/>
      <c r="Y330" s="18"/>
      <c r="Z330" s="18"/>
      <c r="AA330" s="18"/>
      <c r="AB330" s="18"/>
    </row>
    <row r="331" spans="1:28">
      <c r="A331" s="51">
        <v>330</v>
      </c>
      <c r="B331" s="52"/>
      <c r="C331" s="61"/>
      <c r="D331" s="51"/>
      <c r="E331" s="51" t="s">
        <v>1252</v>
      </c>
      <c r="F331" s="55" t="s">
        <v>1253</v>
      </c>
      <c r="G331" s="56"/>
      <c r="H331" s="57"/>
      <c r="I331" s="51"/>
      <c r="J331" s="51">
        <f>1.2*1000</f>
        <v>1200</v>
      </c>
      <c r="K331" s="58">
        <v>7.8703703703703705E-4</v>
      </c>
      <c r="L331" s="59" t="s">
        <v>1162</v>
      </c>
      <c r="M331" s="51"/>
      <c r="N331" s="51"/>
      <c r="O331" s="51"/>
      <c r="P331" s="51"/>
      <c r="Q331" s="37" t="str">
        <f t="shared" ca="1" si="0"/>
        <v/>
      </c>
      <c r="R331" s="52"/>
      <c r="S331" s="52"/>
      <c r="T331" s="52"/>
      <c r="U331" s="61"/>
      <c r="V331" s="62"/>
      <c r="W331" s="63"/>
      <c r="X331" s="64"/>
      <c r="Y331" s="18"/>
      <c r="Z331" s="18"/>
      <c r="AA331" s="18"/>
      <c r="AB331" s="18"/>
    </row>
    <row r="332" spans="1:28">
      <c r="A332" s="51">
        <v>331</v>
      </c>
      <c r="B332" s="52"/>
      <c r="C332" s="61"/>
      <c r="D332" s="51"/>
      <c r="E332" s="51" t="s">
        <v>1254</v>
      </c>
      <c r="F332" s="55" t="s">
        <v>1255</v>
      </c>
      <c r="G332" s="56"/>
      <c r="H332" s="57"/>
      <c r="I332" s="51"/>
      <c r="J332" s="51">
        <f>9.3*1000</f>
        <v>9300</v>
      </c>
      <c r="K332" s="58">
        <v>6.2499999999999995E-3</v>
      </c>
      <c r="L332" s="59" t="s">
        <v>1162</v>
      </c>
      <c r="M332" s="51"/>
      <c r="N332" s="51"/>
      <c r="O332" s="51"/>
      <c r="P332" s="51"/>
      <c r="Q332" s="37" t="str">
        <f t="shared" ca="1" si="0"/>
        <v/>
      </c>
      <c r="R332" s="52"/>
      <c r="S332" s="52"/>
      <c r="T332" s="52"/>
      <c r="U332" s="61"/>
      <c r="V332" s="62"/>
      <c r="W332" s="63"/>
      <c r="X332" s="64"/>
      <c r="Y332" s="18"/>
      <c r="Z332" s="18"/>
      <c r="AA332" s="18"/>
      <c r="AB332" s="18"/>
    </row>
    <row r="333" spans="1:28">
      <c r="A333" s="51">
        <v>332</v>
      </c>
      <c r="B333" s="52"/>
      <c r="C333" s="61"/>
      <c r="D333" s="51"/>
      <c r="E333" s="51" t="s">
        <v>1256</v>
      </c>
      <c r="F333" s="55" t="s">
        <v>1257</v>
      </c>
      <c r="G333" s="56"/>
      <c r="H333" s="57"/>
      <c r="I333" s="51"/>
      <c r="J333" s="51">
        <f>265</f>
        <v>265</v>
      </c>
      <c r="K333" s="58">
        <v>2.7199074074074074E-3</v>
      </c>
      <c r="L333" s="59" t="s">
        <v>1162</v>
      </c>
      <c r="M333" s="51"/>
      <c r="N333" s="51"/>
      <c r="O333" s="51"/>
      <c r="P333" s="51"/>
      <c r="Q333" s="37" t="str">
        <f t="shared" ca="1" si="0"/>
        <v/>
      </c>
      <c r="R333" s="52"/>
      <c r="S333" s="52"/>
      <c r="T333" s="52"/>
      <c r="U333" s="61"/>
      <c r="V333" s="62"/>
      <c r="W333" s="63"/>
      <c r="X333" s="64"/>
      <c r="Y333" s="18"/>
      <c r="Z333" s="18"/>
      <c r="AA333" s="18"/>
      <c r="AB333" s="18"/>
    </row>
    <row r="334" spans="1:28">
      <c r="A334" s="51">
        <v>333</v>
      </c>
      <c r="B334" s="52"/>
      <c r="C334" s="61"/>
      <c r="D334" s="51"/>
      <c r="E334" s="51" t="s">
        <v>1258</v>
      </c>
      <c r="F334" s="55" t="s">
        <v>1259</v>
      </c>
      <c r="G334" s="56"/>
      <c r="H334" s="57"/>
      <c r="I334" s="51"/>
      <c r="J334" s="51">
        <f>238</f>
        <v>238</v>
      </c>
      <c r="K334" s="58">
        <v>2.6041666666666665E-3</v>
      </c>
      <c r="L334" s="59" t="s">
        <v>1162</v>
      </c>
      <c r="M334" s="51"/>
      <c r="N334" s="51"/>
      <c r="O334" s="51"/>
      <c r="P334" s="51"/>
      <c r="Q334" s="37" t="str">
        <f t="shared" ca="1" si="0"/>
        <v/>
      </c>
      <c r="R334" s="52"/>
      <c r="S334" s="52"/>
      <c r="T334" s="52"/>
      <c r="U334" s="61"/>
      <c r="V334" s="62"/>
      <c r="W334" s="63"/>
      <c r="X334" s="64"/>
      <c r="Y334" s="18"/>
      <c r="Z334" s="18"/>
      <c r="AA334" s="18"/>
      <c r="AB334" s="18"/>
    </row>
    <row r="335" spans="1:28">
      <c r="A335" s="51">
        <v>334</v>
      </c>
      <c r="B335" s="52"/>
      <c r="C335" s="61"/>
      <c r="D335" s="51"/>
      <c r="E335" s="51" t="s">
        <v>1260</v>
      </c>
      <c r="F335" s="55" t="s">
        <v>1261</v>
      </c>
      <c r="G335" s="56"/>
      <c r="H335" s="57"/>
      <c r="I335" s="51"/>
      <c r="J335" s="51">
        <f>585</f>
        <v>585</v>
      </c>
      <c r="K335" s="58">
        <v>7.8125E-3</v>
      </c>
      <c r="L335" s="59" t="s">
        <v>1162</v>
      </c>
      <c r="M335" s="51"/>
      <c r="N335" s="51"/>
      <c r="O335" s="51"/>
      <c r="P335" s="51"/>
      <c r="Q335" s="37" t="str">
        <f t="shared" ca="1" si="0"/>
        <v/>
      </c>
      <c r="R335" s="52"/>
      <c r="S335" s="52"/>
      <c r="T335" s="52"/>
      <c r="U335" s="61"/>
      <c r="V335" s="62"/>
      <c r="W335" s="63"/>
      <c r="X335" s="64"/>
      <c r="Y335" s="18"/>
      <c r="Z335" s="18"/>
      <c r="AA335" s="18"/>
      <c r="AB335" s="18"/>
    </row>
    <row r="336" spans="1:28">
      <c r="A336" s="51">
        <v>335</v>
      </c>
      <c r="B336" s="69" t="s">
        <v>127</v>
      </c>
      <c r="C336" s="61"/>
      <c r="D336" s="51"/>
      <c r="E336" s="51" t="s">
        <v>1262</v>
      </c>
      <c r="F336" s="55" t="s">
        <v>1263</v>
      </c>
      <c r="G336" s="56"/>
      <c r="H336" s="57"/>
      <c r="I336" s="51"/>
      <c r="J336" s="51">
        <f>8.8*1000</f>
        <v>8800</v>
      </c>
      <c r="K336" s="58">
        <v>3.9328703703703706E-2</v>
      </c>
      <c r="L336" s="59" t="s">
        <v>1162</v>
      </c>
      <c r="M336" s="51"/>
      <c r="N336" s="51"/>
      <c r="O336" s="51"/>
      <c r="P336" s="51"/>
      <c r="Q336" s="37" t="str">
        <f t="shared" ca="1" si="0"/>
        <v/>
      </c>
      <c r="R336" s="52"/>
      <c r="S336" s="52"/>
      <c r="T336" s="52"/>
      <c r="U336" s="61"/>
      <c r="V336" s="62"/>
      <c r="W336" s="63"/>
      <c r="X336" s="64"/>
      <c r="Y336" s="18"/>
      <c r="Z336" s="18"/>
      <c r="AA336" s="18"/>
      <c r="AB336" s="18"/>
    </row>
    <row r="337" spans="1:28">
      <c r="A337" s="51">
        <v>336</v>
      </c>
      <c r="B337" s="52"/>
      <c r="C337" s="61"/>
      <c r="D337" s="51"/>
      <c r="E337" s="51" t="s">
        <v>1264</v>
      </c>
      <c r="F337" s="55" t="s">
        <v>1265</v>
      </c>
      <c r="G337" s="56"/>
      <c r="H337" s="57"/>
      <c r="I337" s="51"/>
      <c r="J337" s="51">
        <f>2.2*1000</f>
        <v>2200</v>
      </c>
      <c r="K337" s="58">
        <v>2.6388888888888885E-3</v>
      </c>
      <c r="L337" s="59" t="s">
        <v>1162</v>
      </c>
      <c r="M337" s="51"/>
      <c r="N337" s="51"/>
      <c r="O337" s="51"/>
      <c r="P337" s="51"/>
      <c r="Q337" s="37" t="str">
        <f t="shared" ca="1" si="0"/>
        <v/>
      </c>
      <c r="R337" s="52"/>
      <c r="S337" s="52"/>
      <c r="T337" s="52"/>
      <c r="U337" s="61"/>
      <c r="V337" s="62"/>
      <c r="W337" s="63"/>
      <c r="X337" s="64"/>
      <c r="Y337" s="18"/>
      <c r="Z337" s="18"/>
      <c r="AA337" s="18"/>
      <c r="AB337" s="18"/>
    </row>
    <row r="338" spans="1:28">
      <c r="A338" s="51">
        <v>337</v>
      </c>
      <c r="B338" s="52"/>
      <c r="C338" s="61"/>
      <c r="D338" s="51"/>
      <c r="E338" s="51" t="s">
        <v>1266</v>
      </c>
      <c r="F338" s="55" t="s">
        <v>1267</v>
      </c>
      <c r="G338" s="56"/>
      <c r="H338" s="57"/>
      <c r="I338" s="51"/>
      <c r="J338" s="51">
        <f>3.3*1000</f>
        <v>3300</v>
      </c>
      <c r="K338" s="58">
        <v>7.5069444444444453E-2</v>
      </c>
      <c r="L338" s="59" t="s">
        <v>1162</v>
      </c>
      <c r="M338" s="51"/>
      <c r="N338" s="51"/>
      <c r="O338" s="51"/>
      <c r="P338" s="51"/>
      <c r="Q338" s="37" t="str">
        <f t="shared" ca="1" si="0"/>
        <v/>
      </c>
      <c r="R338" s="52"/>
      <c r="S338" s="52"/>
      <c r="T338" s="52"/>
      <c r="U338" s="61"/>
      <c r="V338" s="62"/>
      <c r="W338" s="63"/>
      <c r="X338" s="64"/>
      <c r="Y338" s="18"/>
      <c r="Z338" s="18"/>
      <c r="AA338" s="18"/>
      <c r="AB338" s="18"/>
    </row>
    <row r="339" spans="1:28">
      <c r="A339" s="51">
        <v>338</v>
      </c>
      <c r="B339" s="52"/>
      <c r="C339" s="61"/>
      <c r="D339" s="51"/>
      <c r="E339" s="51" t="s">
        <v>1268</v>
      </c>
      <c r="F339" s="55" t="s">
        <v>1269</v>
      </c>
      <c r="G339" s="56"/>
      <c r="H339" s="57"/>
      <c r="I339" s="51"/>
      <c r="J339" s="51">
        <f>828</f>
        <v>828</v>
      </c>
      <c r="K339" s="58">
        <v>2.5000000000000001E-3</v>
      </c>
      <c r="L339" s="59" t="s">
        <v>1162</v>
      </c>
      <c r="M339" s="51"/>
      <c r="N339" s="51"/>
      <c r="O339" s="51"/>
      <c r="P339" s="51"/>
      <c r="Q339" s="37" t="str">
        <f t="shared" ca="1" si="0"/>
        <v/>
      </c>
      <c r="R339" s="52"/>
      <c r="S339" s="52"/>
      <c r="T339" s="52"/>
      <c r="U339" s="61"/>
      <c r="V339" s="62"/>
      <c r="W339" s="63"/>
      <c r="X339" s="64"/>
      <c r="Y339" s="18"/>
      <c r="Z339" s="18"/>
      <c r="AA339" s="18"/>
      <c r="AB339" s="18"/>
    </row>
    <row r="340" spans="1:28">
      <c r="A340" s="51">
        <v>339</v>
      </c>
      <c r="B340" s="52"/>
      <c r="C340" s="61"/>
      <c r="D340" s="51"/>
      <c r="E340" s="51" t="s">
        <v>1270</v>
      </c>
      <c r="F340" s="55" t="s">
        <v>1271</v>
      </c>
      <c r="G340" s="56"/>
      <c r="H340" s="57"/>
      <c r="I340" s="51"/>
      <c r="J340" s="51">
        <f>1.2*1000</f>
        <v>1200</v>
      </c>
      <c r="K340" s="58">
        <v>9.8379629629629642E-4</v>
      </c>
      <c r="L340" s="59" t="s">
        <v>1162</v>
      </c>
      <c r="M340" s="51"/>
      <c r="N340" s="51"/>
      <c r="O340" s="51"/>
      <c r="P340" s="51"/>
      <c r="Q340" s="37" t="str">
        <f t="shared" ca="1" si="0"/>
        <v/>
      </c>
      <c r="R340" s="52"/>
      <c r="S340" s="52"/>
      <c r="T340" s="52"/>
      <c r="U340" s="61"/>
      <c r="V340" s="62"/>
      <c r="W340" s="63"/>
      <c r="X340" s="64"/>
      <c r="Y340" s="18"/>
      <c r="Z340" s="18"/>
      <c r="AA340" s="18"/>
      <c r="AB340" s="18"/>
    </row>
    <row r="341" spans="1:28">
      <c r="A341" s="51">
        <v>340</v>
      </c>
      <c r="B341" s="52"/>
      <c r="C341" s="61"/>
      <c r="D341" s="51"/>
      <c r="E341" s="51" t="s">
        <v>1272</v>
      </c>
      <c r="F341" s="55" t="s">
        <v>1273</v>
      </c>
      <c r="G341" s="56"/>
      <c r="H341" s="57"/>
      <c r="I341" s="51"/>
      <c r="J341" s="51">
        <f>3.7*1000</f>
        <v>3700</v>
      </c>
      <c r="K341" s="58">
        <v>7.0636574074074074E-2</v>
      </c>
      <c r="L341" s="59" t="s">
        <v>1162</v>
      </c>
      <c r="M341" s="51"/>
      <c r="N341" s="51"/>
      <c r="O341" s="51"/>
      <c r="P341" s="51"/>
      <c r="Q341" s="37" t="str">
        <f t="shared" ca="1" si="0"/>
        <v/>
      </c>
      <c r="R341" s="52"/>
      <c r="S341" s="52"/>
      <c r="T341" s="52"/>
      <c r="U341" s="61"/>
      <c r="V341" s="62"/>
      <c r="W341" s="63"/>
      <c r="X341" s="64"/>
      <c r="Y341" s="18"/>
      <c r="Z341" s="18"/>
      <c r="AA341" s="18"/>
      <c r="AB341" s="18"/>
    </row>
    <row r="342" spans="1:28">
      <c r="A342" s="51">
        <v>341</v>
      </c>
      <c r="B342" s="52"/>
      <c r="C342" s="61"/>
      <c r="D342" s="51"/>
      <c r="E342" s="51" t="s">
        <v>1274</v>
      </c>
      <c r="F342" s="55" t="s">
        <v>1275</v>
      </c>
      <c r="G342" s="56"/>
      <c r="H342" s="57"/>
      <c r="I342" s="51"/>
      <c r="J342" s="51">
        <f>6.8*1000</f>
        <v>6800</v>
      </c>
      <c r="K342" s="58">
        <v>1.2453703703703703E-2</v>
      </c>
      <c r="L342" s="59" t="s">
        <v>1162</v>
      </c>
      <c r="M342" s="51"/>
      <c r="N342" s="51"/>
      <c r="O342" s="51"/>
      <c r="P342" s="51"/>
      <c r="Q342" s="37" t="str">
        <f t="shared" ca="1" si="0"/>
        <v/>
      </c>
      <c r="R342" s="52"/>
      <c r="S342" s="52"/>
      <c r="T342" s="52"/>
      <c r="U342" s="61"/>
      <c r="V342" s="62"/>
      <c r="W342" s="63"/>
      <c r="X342" s="64"/>
      <c r="Y342" s="18"/>
      <c r="Z342" s="18"/>
      <c r="AA342" s="18"/>
      <c r="AB342" s="18"/>
    </row>
    <row r="343" spans="1:28">
      <c r="A343" s="51">
        <v>342</v>
      </c>
      <c r="B343" s="52"/>
      <c r="C343" s="61"/>
      <c r="D343" s="51"/>
      <c r="E343" s="51" t="s">
        <v>1276</v>
      </c>
      <c r="F343" s="55" t="s">
        <v>1277</v>
      </c>
      <c r="G343" s="56"/>
      <c r="H343" s="57"/>
      <c r="I343" s="51"/>
      <c r="J343" s="51">
        <f t="shared" ref="J343:J344" si="10">1.2*1000</f>
        <v>1200</v>
      </c>
      <c r="K343" s="58">
        <v>2.7546296296296294E-3</v>
      </c>
      <c r="L343" s="59" t="s">
        <v>1162</v>
      </c>
      <c r="M343" s="51"/>
      <c r="N343" s="51"/>
      <c r="O343" s="51"/>
      <c r="P343" s="51"/>
      <c r="Q343" s="37" t="str">
        <f t="shared" ca="1" si="0"/>
        <v/>
      </c>
      <c r="R343" s="52"/>
      <c r="S343" s="52"/>
      <c r="T343" s="52"/>
      <c r="U343" s="61"/>
      <c r="V343" s="62"/>
      <c r="W343" s="63"/>
      <c r="X343" s="64"/>
      <c r="Y343" s="18"/>
      <c r="Z343" s="18"/>
      <c r="AA343" s="18"/>
      <c r="AB343" s="18"/>
    </row>
    <row r="344" spans="1:28">
      <c r="A344" s="51">
        <v>343</v>
      </c>
      <c r="B344" s="52"/>
      <c r="C344" s="61"/>
      <c r="D344" s="51"/>
      <c r="E344" s="51" t="s">
        <v>1278</v>
      </c>
      <c r="F344" s="55" t="s">
        <v>1279</v>
      </c>
      <c r="G344" s="56"/>
      <c r="H344" s="57"/>
      <c r="I344" s="51"/>
      <c r="J344" s="51">
        <f t="shared" si="10"/>
        <v>1200</v>
      </c>
      <c r="K344" s="58">
        <v>2.5694444444444445E-3</v>
      </c>
      <c r="L344" s="59" t="s">
        <v>1162</v>
      </c>
      <c r="M344" s="51"/>
      <c r="N344" s="51"/>
      <c r="O344" s="51"/>
      <c r="P344" s="51"/>
      <c r="Q344" s="37" t="str">
        <f t="shared" ca="1" si="0"/>
        <v/>
      </c>
      <c r="R344" s="52"/>
      <c r="S344" s="52"/>
      <c r="T344" s="52"/>
      <c r="U344" s="61"/>
      <c r="V344" s="62"/>
      <c r="W344" s="63"/>
      <c r="X344" s="64"/>
      <c r="Y344" s="18"/>
      <c r="Z344" s="18"/>
      <c r="AA344" s="18"/>
      <c r="AB344" s="18"/>
    </row>
    <row r="345" spans="1:28">
      <c r="A345" s="51">
        <v>344</v>
      </c>
      <c r="B345" s="52"/>
      <c r="C345" s="61"/>
      <c r="D345" s="51"/>
      <c r="E345" s="51" t="s">
        <v>1280</v>
      </c>
      <c r="F345" s="55" t="s">
        <v>1281</v>
      </c>
      <c r="G345" s="56"/>
      <c r="H345" s="57"/>
      <c r="I345" s="51"/>
      <c r="J345" s="51">
        <f>231</f>
        <v>231</v>
      </c>
      <c r="K345" s="58">
        <v>1.7708333333333332E-3</v>
      </c>
      <c r="L345" s="59" t="s">
        <v>1162</v>
      </c>
      <c r="M345" s="51"/>
      <c r="N345" s="51"/>
      <c r="O345" s="51"/>
      <c r="P345" s="51"/>
      <c r="Q345" s="37" t="str">
        <f t="shared" ca="1" si="0"/>
        <v/>
      </c>
      <c r="R345" s="52"/>
      <c r="S345" s="52"/>
      <c r="T345" s="52"/>
      <c r="U345" s="61"/>
      <c r="V345" s="62"/>
      <c r="W345" s="63"/>
      <c r="X345" s="64"/>
      <c r="Y345" s="18"/>
      <c r="Z345" s="18"/>
      <c r="AA345" s="18"/>
      <c r="AB345" s="18"/>
    </row>
    <row r="346" spans="1:28">
      <c r="A346" s="51">
        <v>345</v>
      </c>
      <c r="B346" s="52"/>
      <c r="C346" s="61"/>
      <c r="D346" s="51"/>
      <c r="E346" s="51" t="s">
        <v>1282</v>
      </c>
      <c r="F346" s="55" t="s">
        <v>1283</v>
      </c>
      <c r="G346" s="56"/>
      <c r="H346" s="57"/>
      <c r="I346" s="51"/>
      <c r="J346" s="51">
        <f>666</f>
        <v>666</v>
      </c>
      <c r="K346" s="58">
        <v>1.3194444444444443E-3</v>
      </c>
      <c r="L346" s="59" t="s">
        <v>1162</v>
      </c>
      <c r="M346" s="51"/>
      <c r="N346" s="51"/>
      <c r="O346" s="51"/>
      <c r="P346" s="51"/>
      <c r="Q346" s="37" t="str">
        <f t="shared" ca="1" si="0"/>
        <v/>
      </c>
      <c r="R346" s="52"/>
      <c r="S346" s="52"/>
      <c r="T346" s="52"/>
      <c r="U346" s="61"/>
      <c r="V346" s="62"/>
      <c r="W346" s="63"/>
      <c r="X346" s="64"/>
      <c r="Y346" s="18"/>
      <c r="Z346" s="18"/>
      <c r="AA346" s="18"/>
      <c r="AB346" s="18"/>
    </row>
    <row r="347" spans="1:28">
      <c r="A347" s="51">
        <v>346</v>
      </c>
      <c r="B347" s="52"/>
      <c r="C347" s="61"/>
      <c r="D347" s="51"/>
      <c r="E347" s="51" t="s">
        <v>1284</v>
      </c>
      <c r="F347" s="55" t="s">
        <v>1285</v>
      </c>
      <c r="G347" s="56"/>
      <c r="H347" s="57"/>
      <c r="I347" s="51"/>
      <c r="J347" s="51">
        <f>191</f>
        <v>191</v>
      </c>
      <c r="K347" s="58">
        <v>9.4907407407407408E-4</v>
      </c>
      <c r="L347" s="59" t="s">
        <v>1162</v>
      </c>
      <c r="M347" s="51"/>
      <c r="N347" s="51"/>
      <c r="O347" s="51"/>
      <c r="P347" s="51"/>
      <c r="Q347" s="37" t="str">
        <f t="shared" ca="1" si="0"/>
        <v/>
      </c>
      <c r="R347" s="52"/>
      <c r="S347" s="52"/>
      <c r="T347" s="52"/>
      <c r="U347" s="61"/>
      <c r="V347" s="62"/>
      <c r="W347" s="63"/>
      <c r="X347" s="64"/>
      <c r="Y347" s="18"/>
      <c r="Z347" s="18"/>
      <c r="AA347" s="18"/>
      <c r="AB347" s="18"/>
    </row>
    <row r="348" spans="1:28">
      <c r="A348" s="51">
        <v>347</v>
      </c>
      <c r="B348" s="52"/>
      <c r="C348" s="61"/>
      <c r="D348" s="51"/>
      <c r="E348" s="51" t="s">
        <v>1286</v>
      </c>
      <c r="F348" s="55" t="s">
        <v>1287</v>
      </c>
      <c r="G348" s="56"/>
      <c r="H348" s="57"/>
      <c r="I348" s="51"/>
      <c r="J348" s="51">
        <f>870</f>
        <v>870</v>
      </c>
      <c r="K348" s="58">
        <v>6.076388888888889E-3</v>
      </c>
      <c r="L348" s="59" t="s">
        <v>1162</v>
      </c>
      <c r="M348" s="51"/>
      <c r="N348" s="51"/>
      <c r="O348" s="51"/>
      <c r="P348" s="51"/>
      <c r="Q348" s="37" t="str">
        <f t="shared" ca="1" si="0"/>
        <v/>
      </c>
      <c r="R348" s="52"/>
      <c r="S348" s="52"/>
      <c r="T348" s="52"/>
      <c r="U348" s="61"/>
      <c r="V348" s="62"/>
      <c r="W348" s="63"/>
      <c r="X348" s="64"/>
      <c r="Y348" s="18"/>
      <c r="Z348" s="18"/>
      <c r="AA348" s="18"/>
      <c r="AB348" s="18"/>
    </row>
    <row r="349" spans="1:28">
      <c r="A349" s="51">
        <v>348</v>
      </c>
      <c r="B349" s="52"/>
      <c r="C349" s="61"/>
      <c r="D349" s="51"/>
      <c r="E349" s="51" t="s">
        <v>1288</v>
      </c>
      <c r="F349" s="55" t="s">
        <v>1289</v>
      </c>
      <c r="G349" s="56"/>
      <c r="H349" s="57"/>
      <c r="I349" s="51"/>
      <c r="J349" s="51">
        <f>527</f>
        <v>527</v>
      </c>
      <c r="K349" s="58">
        <v>3.6574074074074074E-3</v>
      </c>
      <c r="L349" s="59" t="s">
        <v>1162</v>
      </c>
      <c r="M349" s="51"/>
      <c r="N349" s="51"/>
      <c r="O349" s="51"/>
      <c r="P349" s="51"/>
      <c r="Q349" s="37" t="str">
        <f t="shared" ca="1" si="0"/>
        <v/>
      </c>
      <c r="R349" s="52"/>
      <c r="S349" s="52"/>
      <c r="T349" s="52"/>
      <c r="U349" s="61"/>
      <c r="V349" s="62"/>
      <c r="W349" s="63"/>
      <c r="X349" s="64"/>
      <c r="Y349" s="18"/>
      <c r="Z349" s="18"/>
      <c r="AA349" s="18"/>
      <c r="AB349" s="18"/>
    </row>
    <row r="350" spans="1:28">
      <c r="A350" s="51">
        <v>349</v>
      </c>
      <c r="B350" s="52"/>
      <c r="C350" s="61"/>
      <c r="D350" s="51"/>
      <c r="E350" s="51" t="s">
        <v>1290</v>
      </c>
      <c r="F350" s="55" t="s">
        <v>1291</v>
      </c>
      <c r="G350" s="56"/>
      <c r="H350" s="57"/>
      <c r="I350" s="51"/>
      <c r="J350" s="51">
        <f>1*1000</f>
        <v>1000</v>
      </c>
      <c r="K350" s="58">
        <v>5.2662037037037035E-3</v>
      </c>
      <c r="L350" s="59" t="s">
        <v>1162</v>
      </c>
      <c r="M350" s="51"/>
      <c r="N350" s="51"/>
      <c r="O350" s="51"/>
      <c r="P350" s="51"/>
      <c r="Q350" s="37" t="str">
        <f t="shared" ca="1" si="0"/>
        <v/>
      </c>
      <c r="R350" s="52"/>
      <c r="S350" s="52"/>
      <c r="T350" s="52"/>
      <c r="U350" s="61"/>
      <c r="V350" s="62"/>
      <c r="W350" s="63"/>
      <c r="X350" s="64"/>
      <c r="Y350" s="18"/>
      <c r="Z350" s="18"/>
      <c r="AA350" s="18"/>
      <c r="AB350" s="18"/>
    </row>
    <row r="351" spans="1:28">
      <c r="A351" s="51">
        <v>350</v>
      </c>
      <c r="B351" s="52"/>
      <c r="C351" s="61"/>
      <c r="D351" s="51"/>
      <c r="E351" s="51" t="s">
        <v>1292</v>
      </c>
      <c r="F351" s="55" t="s">
        <v>1293</v>
      </c>
      <c r="G351" s="56"/>
      <c r="H351" s="57"/>
      <c r="I351" s="51"/>
      <c r="J351" s="51">
        <f>368</f>
        <v>368</v>
      </c>
      <c r="K351" s="58">
        <v>1.1805555555555556E-3</v>
      </c>
      <c r="L351" s="59" t="s">
        <v>1162</v>
      </c>
      <c r="M351" s="51"/>
      <c r="N351" s="51"/>
      <c r="O351" s="51"/>
      <c r="P351" s="51"/>
      <c r="Q351" s="37" t="str">
        <f t="shared" ca="1" si="0"/>
        <v/>
      </c>
      <c r="R351" s="52"/>
      <c r="S351" s="52"/>
      <c r="T351" s="52"/>
      <c r="U351" s="61"/>
      <c r="V351" s="62"/>
      <c r="W351" s="63"/>
      <c r="X351" s="64"/>
      <c r="Y351" s="18"/>
      <c r="Z351" s="18"/>
      <c r="AA351" s="18"/>
      <c r="AB351" s="18"/>
    </row>
    <row r="352" spans="1:28">
      <c r="A352" s="51">
        <v>351</v>
      </c>
      <c r="B352" s="52"/>
      <c r="C352" s="61"/>
      <c r="D352" s="51"/>
      <c r="E352" s="51" t="s">
        <v>1294</v>
      </c>
      <c r="F352" s="55" t="s">
        <v>1295</v>
      </c>
      <c r="G352" s="56"/>
      <c r="H352" s="57"/>
      <c r="I352" s="51"/>
      <c r="J352" s="51">
        <f>1.3*1000</f>
        <v>1300</v>
      </c>
      <c r="K352" s="58">
        <v>2.9398148148148148E-3</v>
      </c>
      <c r="L352" s="59" t="s">
        <v>1162</v>
      </c>
      <c r="M352" s="51"/>
      <c r="N352" s="51"/>
      <c r="O352" s="51"/>
      <c r="P352" s="51"/>
      <c r="Q352" s="37" t="str">
        <f t="shared" ca="1" si="0"/>
        <v/>
      </c>
      <c r="R352" s="52"/>
      <c r="S352" s="52"/>
      <c r="T352" s="52"/>
      <c r="U352" s="61"/>
      <c r="V352" s="62"/>
      <c r="W352" s="63"/>
      <c r="X352" s="64"/>
      <c r="Y352" s="18"/>
      <c r="Z352" s="18"/>
      <c r="AA352" s="18"/>
      <c r="AB352" s="18"/>
    </row>
    <row r="353" spans="1:28">
      <c r="A353" s="51">
        <v>352</v>
      </c>
      <c r="B353" s="52"/>
      <c r="C353" s="61"/>
      <c r="D353" s="51"/>
      <c r="E353" s="51" t="s">
        <v>1296</v>
      </c>
      <c r="F353" s="55" t="s">
        <v>1297</v>
      </c>
      <c r="G353" s="56"/>
      <c r="H353" s="57"/>
      <c r="I353" s="51"/>
      <c r="J353" s="51">
        <f>207</f>
        <v>207</v>
      </c>
      <c r="K353" s="58">
        <v>3.425925925925926E-3</v>
      </c>
      <c r="L353" s="59" t="s">
        <v>1162</v>
      </c>
      <c r="M353" s="51"/>
      <c r="N353" s="51"/>
      <c r="O353" s="51"/>
      <c r="P353" s="51"/>
      <c r="Q353" s="37" t="str">
        <f t="shared" ca="1" si="0"/>
        <v/>
      </c>
      <c r="R353" s="52"/>
      <c r="S353" s="52"/>
      <c r="T353" s="52"/>
      <c r="U353" s="61"/>
      <c r="V353" s="62"/>
      <c r="W353" s="63"/>
      <c r="X353" s="64"/>
      <c r="Y353" s="18"/>
      <c r="Z353" s="18"/>
      <c r="AA353" s="18"/>
      <c r="AB353" s="18"/>
    </row>
    <row r="354" spans="1:28">
      <c r="A354" s="51">
        <v>353</v>
      </c>
      <c r="B354" s="52"/>
      <c r="C354" s="61"/>
      <c r="D354" s="51"/>
      <c r="E354" s="51" t="s">
        <v>1298</v>
      </c>
      <c r="F354" s="55" t="s">
        <v>1299</v>
      </c>
      <c r="G354" s="56"/>
      <c r="H354" s="57"/>
      <c r="I354" s="51"/>
      <c r="J354" s="51">
        <f>177</f>
        <v>177</v>
      </c>
      <c r="K354" s="58">
        <v>2.7777777777777778E-4</v>
      </c>
      <c r="L354" s="59" t="s">
        <v>1162</v>
      </c>
      <c r="M354" s="51"/>
      <c r="N354" s="51"/>
      <c r="O354" s="51"/>
      <c r="P354" s="51"/>
      <c r="Q354" s="37" t="str">
        <f t="shared" ca="1" si="0"/>
        <v/>
      </c>
      <c r="R354" s="52"/>
      <c r="S354" s="52"/>
      <c r="T354" s="52"/>
      <c r="U354" s="61"/>
      <c r="V354" s="62"/>
      <c r="W354" s="63"/>
      <c r="X354" s="64"/>
      <c r="Y354" s="18"/>
      <c r="Z354" s="18"/>
      <c r="AA354" s="18"/>
      <c r="AB354" s="18"/>
    </row>
    <row r="355" spans="1:28">
      <c r="A355" s="51">
        <v>354</v>
      </c>
      <c r="B355" s="52"/>
      <c r="C355" s="61"/>
      <c r="D355" s="51"/>
      <c r="E355" s="51" t="s">
        <v>1300</v>
      </c>
      <c r="F355" s="55" t="s">
        <v>1301</v>
      </c>
      <c r="G355" s="56"/>
      <c r="H355" s="57"/>
      <c r="I355" s="51"/>
      <c r="J355" s="51">
        <f>3*1000</f>
        <v>3000</v>
      </c>
      <c r="K355" s="58">
        <v>2.615740740740741E-3</v>
      </c>
      <c r="L355" s="59" t="s">
        <v>1162</v>
      </c>
      <c r="M355" s="51"/>
      <c r="N355" s="51"/>
      <c r="O355" s="51"/>
      <c r="P355" s="51"/>
      <c r="Q355" s="37" t="str">
        <f t="shared" ca="1" si="0"/>
        <v/>
      </c>
      <c r="R355" s="52"/>
      <c r="S355" s="52"/>
      <c r="T355" s="52"/>
      <c r="U355" s="61"/>
      <c r="V355" s="62"/>
      <c r="W355" s="63"/>
      <c r="X355" s="64"/>
      <c r="Y355" s="18"/>
      <c r="Z355" s="18"/>
      <c r="AA355" s="18"/>
      <c r="AB355" s="18"/>
    </row>
    <row r="356" spans="1:28">
      <c r="A356" s="51">
        <v>355</v>
      </c>
      <c r="B356" s="52"/>
      <c r="C356" s="61"/>
      <c r="D356" s="51"/>
      <c r="E356" s="51" t="s">
        <v>1302</v>
      </c>
      <c r="F356" s="55" t="s">
        <v>1303</v>
      </c>
      <c r="G356" s="56"/>
      <c r="H356" s="57"/>
      <c r="I356" s="51"/>
      <c r="J356" s="51">
        <f>1.9*1000</f>
        <v>1900</v>
      </c>
      <c r="K356" s="58">
        <v>2.9629629629629628E-3</v>
      </c>
      <c r="L356" s="59" t="s">
        <v>1162</v>
      </c>
      <c r="M356" s="51"/>
      <c r="N356" s="51"/>
      <c r="O356" s="51"/>
      <c r="P356" s="51"/>
      <c r="Q356" s="37" t="str">
        <f t="shared" ca="1" si="0"/>
        <v/>
      </c>
      <c r="R356" s="52"/>
      <c r="S356" s="52"/>
      <c r="T356" s="52"/>
      <c r="U356" s="61"/>
      <c r="V356" s="62"/>
      <c r="W356" s="63"/>
      <c r="X356" s="64"/>
      <c r="Y356" s="18"/>
      <c r="Z356" s="18"/>
      <c r="AA356" s="18"/>
      <c r="AB356" s="18"/>
    </row>
    <row r="357" spans="1:28">
      <c r="A357" s="51">
        <v>356</v>
      </c>
      <c r="B357" s="52"/>
      <c r="C357" s="61"/>
      <c r="D357" s="51"/>
      <c r="E357" s="51" t="s">
        <v>1304</v>
      </c>
      <c r="F357" s="55" t="s">
        <v>1305</v>
      </c>
      <c r="G357" s="56"/>
      <c r="H357" s="57"/>
      <c r="I357" s="51"/>
      <c r="J357" s="51">
        <f>549</f>
        <v>549</v>
      </c>
      <c r="K357" s="58">
        <v>2.1874999999999998E-3</v>
      </c>
      <c r="L357" s="59" t="s">
        <v>1162</v>
      </c>
      <c r="M357" s="51"/>
      <c r="N357" s="51"/>
      <c r="O357" s="51"/>
      <c r="P357" s="51"/>
      <c r="Q357" s="37" t="str">
        <f t="shared" ca="1" si="0"/>
        <v/>
      </c>
      <c r="R357" s="52"/>
      <c r="S357" s="52"/>
      <c r="T357" s="52"/>
      <c r="U357" s="61"/>
      <c r="V357" s="62"/>
      <c r="W357" s="63"/>
      <c r="X357" s="64"/>
      <c r="Y357" s="18"/>
      <c r="Z357" s="18"/>
      <c r="AA357" s="18"/>
      <c r="AB357" s="18"/>
    </row>
    <row r="358" spans="1:28">
      <c r="A358" s="51">
        <v>357</v>
      </c>
      <c r="B358" s="52"/>
      <c r="C358" s="61"/>
      <c r="D358" s="51"/>
      <c r="E358" s="51" t="s">
        <v>1306</v>
      </c>
      <c r="F358" s="55" t="s">
        <v>1307</v>
      </c>
      <c r="G358" s="56"/>
      <c r="H358" s="57"/>
      <c r="I358" s="51"/>
      <c r="J358" s="51">
        <f>632</f>
        <v>632</v>
      </c>
      <c r="K358" s="58">
        <v>4.3749999999999995E-3</v>
      </c>
      <c r="L358" s="59" t="s">
        <v>1162</v>
      </c>
      <c r="M358" s="51"/>
      <c r="N358" s="51"/>
      <c r="O358" s="51"/>
      <c r="P358" s="51"/>
      <c r="Q358" s="37" t="str">
        <f t="shared" ca="1" si="0"/>
        <v/>
      </c>
      <c r="R358" s="52"/>
      <c r="S358" s="52"/>
      <c r="T358" s="52"/>
      <c r="U358" s="61"/>
      <c r="V358" s="62"/>
      <c r="W358" s="63"/>
      <c r="X358" s="64"/>
      <c r="Y358" s="18"/>
      <c r="Z358" s="18"/>
      <c r="AA358" s="18"/>
      <c r="AB358" s="18"/>
    </row>
    <row r="359" spans="1:28">
      <c r="A359" s="51">
        <v>358</v>
      </c>
      <c r="B359" s="52"/>
      <c r="C359" s="61"/>
      <c r="D359" s="51"/>
      <c r="E359" s="51" t="s">
        <v>1308</v>
      </c>
      <c r="F359" s="55" t="s">
        <v>1309</v>
      </c>
      <c r="G359" s="56"/>
      <c r="H359" s="57"/>
      <c r="I359" s="51"/>
      <c r="J359" s="51">
        <f>656</f>
        <v>656</v>
      </c>
      <c r="K359" s="58">
        <v>3.1250000000000001E-4</v>
      </c>
      <c r="L359" s="59" t="s">
        <v>1162</v>
      </c>
      <c r="M359" s="51"/>
      <c r="N359" s="51"/>
      <c r="O359" s="51"/>
      <c r="P359" s="51"/>
      <c r="Q359" s="37" t="str">
        <f t="shared" ca="1" si="0"/>
        <v/>
      </c>
      <c r="R359" s="52"/>
      <c r="S359" s="52"/>
      <c r="T359" s="52"/>
      <c r="U359" s="61"/>
      <c r="V359" s="62"/>
      <c r="W359" s="63"/>
      <c r="X359" s="64"/>
      <c r="Y359" s="18"/>
      <c r="Z359" s="18"/>
      <c r="AA359" s="18"/>
      <c r="AB359" s="18"/>
    </row>
    <row r="360" spans="1:28">
      <c r="A360" s="51">
        <v>359</v>
      </c>
      <c r="B360" s="52"/>
      <c r="C360" s="61"/>
      <c r="D360" s="51"/>
      <c r="E360" s="51" t="s">
        <v>1310</v>
      </c>
      <c r="F360" s="55" t="s">
        <v>1311</v>
      </c>
      <c r="G360" s="56"/>
      <c r="H360" s="57"/>
      <c r="I360" s="51"/>
      <c r="J360" s="51">
        <f>1.2*1000</f>
        <v>1200</v>
      </c>
      <c r="K360" s="58">
        <v>4.9189814814814816E-3</v>
      </c>
      <c r="L360" s="59" t="s">
        <v>1312</v>
      </c>
      <c r="M360" s="51"/>
      <c r="N360" s="51"/>
      <c r="O360" s="51"/>
      <c r="P360" s="51"/>
      <c r="Q360" s="37" t="str">
        <f t="shared" ca="1" si="0"/>
        <v/>
      </c>
      <c r="R360" s="52"/>
      <c r="S360" s="52"/>
      <c r="T360" s="52"/>
      <c r="U360" s="61"/>
      <c r="V360" s="62"/>
      <c r="W360" s="63"/>
      <c r="X360" s="64"/>
      <c r="Y360" s="18"/>
      <c r="Z360" s="18"/>
      <c r="AA360" s="18"/>
      <c r="AB360" s="18"/>
    </row>
    <row r="361" spans="1:28">
      <c r="A361" s="51">
        <v>360</v>
      </c>
      <c r="B361" s="52"/>
      <c r="C361" s="61"/>
      <c r="D361" s="51"/>
      <c r="E361" s="51" t="s">
        <v>1313</v>
      </c>
      <c r="F361" s="55" t="s">
        <v>1314</v>
      </c>
      <c r="G361" s="56"/>
      <c r="H361" s="57"/>
      <c r="I361" s="51"/>
      <c r="J361" s="51">
        <f>1.3*1000</f>
        <v>1300</v>
      </c>
      <c r="K361" s="58">
        <v>2.9398148148148148E-3</v>
      </c>
      <c r="L361" s="59" t="s">
        <v>1162</v>
      </c>
      <c r="M361" s="51"/>
      <c r="N361" s="51"/>
      <c r="O361" s="51"/>
      <c r="P361" s="51"/>
      <c r="Q361" s="37" t="str">
        <f t="shared" ca="1" si="0"/>
        <v/>
      </c>
      <c r="R361" s="52"/>
      <c r="S361" s="52"/>
      <c r="T361" s="52"/>
      <c r="U361" s="61"/>
      <c r="V361" s="62"/>
      <c r="W361" s="63"/>
      <c r="X361" s="64"/>
      <c r="Y361" s="18"/>
      <c r="Z361" s="18"/>
      <c r="AA361" s="18"/>
      <c r="AB361" s="18"/>
    </row>
    <row r="362" spans="1:28">
      <c r="A362" s="51">
        <v>361</v>
      </c>
      <c r="B362" s="52"/>
      <c r="C362" s="61"/>
      <c r="D362" s="51"/>
      <c r="E362" s="51" t="s">
        <v>1315</v>
      </c>
      <c r="F362" s="55" t="s">
        <v>1316</v>
      </c>
      <c r="G362" s="56"/>
      <c r="H362" s="57"/>
      <c r="I362" s="51"/>
      <c r="J362" s="51">
        <f>3.8*1000</f>
        <v>3800</v>
      </c>
      <c r="K362" s="58">
        <v>1.3912037037037037E-2</v>
      </c>
      <c r="L362" s="59" t="s">
        <v>1162</v>
      </c>
      <c r="M362" s="51"/>
      <c r="N362" s="51"/>
      <c r="O362" s="51"/>
      <c r="P362" s="51"/>
      <c r="Q362" s="37" t="str">
        <f t="shared" ca="1" si="0"/>
        <v/>
      </c>
      <c r="R362" s="52"/>
      <c r="S362" s="52"/>
      <c r="T362" s="52"/>
      <c r="U362" s="61"/>
      <c r="V362" s="62"/>
      <c r="W362" s="63"/>
      <c r="X362" s="64"/>
      <c r="Y362" s="18"/>
      <c r="Z362" s="18"/>
      <c r="AA362" s="18"/>
      <c r="AB362" s="18"/>
    </row>
    <row r="363" spans="1:28">
      <c r="A363" s="51">
        <v>362</v>
      </c>
      <c r="B363" s="52"/>
      <c r="C363" s="61"/>
      <c r="D363" s="51"/>
      <c r="E363" s="51" t="s">
        <v>1317</v>
      </c>
      <c r="F363" s="55" t="s">
        <v>1318</v>
      </c>
      <c r="G363" s="56"/>
      <c r="H363" s="57"/>
      <c r="I363" s="51"/>
      <c r="J363" s="51">
        <f>9.2*1000</f>
        <v>9200</v>
      </c>
      <c r="K363" s="58">
        <v>1.6898148148148148E-2</v>
      </c>
      <c r="L363" s="59" t="s">
        <v>1162</v>
      </c>
      <c r="M363" s="51"/>
      <c r="N363" s="51"/>
      <c r="O363" s="51"/>
      <c r="P363" s="51"/>
      <c r="Q363" s="37" t="str">
        <f t="shared" ca="1" si="0"/>
        <v/>
      </c>
      <c r="R363" s="52"/>
      <c r="S363" s="52"/>
      <c r="T363" s="52"/>
      <c r="U363" s="61"/>
      <c r="V363" s="62"/>
      <c r="W363" s="63"/>
      <c r="X363" s="64"/>
      <c r="Y363" s="18"/>
      <c r="Z363" s="18"/>
      <c r="AA363" s="18"/>
      <c r="AB363" s="18"/>
    </row>
    <row r="364" spans="1:28">
      <c r="A364" s="51">
        <v>363</v>
      </c>
      <c r="B364" s="52"/>
      <c r="C364" s="61"/>
      <c r="D364" s="51"/>
      <c r="E364" s="51" t="s">
        <v>1319</v>
      </c>
      <c r="F364" s="55" t="s">
        <v>1320</v>
      </c>
      <c r="G364" s="56"/>
      <c r="H364" s="57"/>
      <c r="I364" s="51"/>
      <c r="J364" s="51">
        <f>1.6*1000</f>
        <v>1600</v>
      </c>
      <c r="K364" s="58">
        <v>2.2106481481481478E-3</v>
      </c>
      <c r="L364" s="59" t="s">
        <v>1162</v>
      </c>
      <c r="M364" s="51"/>
      <c r="N364" s="51"/>
      <c r="O364" s="51"/>
      <c r="P364" s="51"/>
      <c r="Q364" s="37" t="str">
        <f t="shared" ca="1" si="0"/>
        <v/>
      </c>
      <c r="R364" s="52"/>
      <c r="S364" s="52"/>
      <c r="T364" s="52"/>
      <c r="U364" s="61"/>
      <c r="V364" s="62"/>
      <c r="W364" s="63"/>
      <c r="X364" s="64"/>
      <c r="Y364" s="18"/>
      <c r="Z364" s="18"/>
      <c r="AA364" s="18"/>
      <c r="AB364" s="18"/>
    </row>
    <row r="365" spans="1:28">
      <c r="A365" s="51">
        <v>364</v>
      </c>
      <c r="B365" s="52"/>
      <c r="C365" s="61"/>
      <c r="D365" s="51"/>
      <c r="E365" s="51" t="s">
        <v>1321</v>
      </c>
      <c r="F365" s="55" t="s">
        <v>1322</v>
      </c>
      <c r="G365" s="56"/>
      <c r="H365" s="57"/>
      <c r="I365" s="51"/>
      <c r="J365" s="51">
        <f>2.7*1000</f>
        <v>2700</v>
      </c>
      <c r="K365" s="58">
        <v>2.2615740740740742E-2</v>
      </c>
      <c r="L365" s="59" t="s">
        <v>1162</v>
      </c>
      <c r="M365" s="51"/>
      <c r="N365" s="51"/>
      <c r="O365" s="51"/>
      <c r="P365" s="51"/>
      <c r="Q365" s="37" t="str">
        <f t="shared" ca="1" si="0"/>
        <v/>
      </c>
      <c r="R365" s="52"/>
      <c r="S365" s="52"/>
      <c r="T365" s="52"/>
      <c r="U365" s="61"/>
      <c r="V365" s="62"/>
      <c r="W365" s="63"/>
      <c r="X365" s="64"/>
      <c r="Y365" s="18"/>
      <c r="Z365" s="18"/>
      <c r="AA365" s="18"/>
      <c r="AB365" s="18"/>
    </row>
    <row r="366" spans="1:28">
      <c r="A366" s="51">
        <v>365</v>
      </c>
      <c r="B366" s="52"/>
      <c r="C366" s="61"/>
      <c r="D366" s="51"/>
      <c r="E366" s="51" t="s">
        <v>1323</v>
      </c>
      <c r="F366" s="55" t="s">
        <v>1324</v>
      </c>
      <c r="G366" s="56"/>
      <c r="H366" s="57"/>
      <c r="I366" s="51"/>
      <c r="J366" s="51">
        <f>768</f>
        <v>768</v>
      </c>
      <c r="K366" s="58">
        <v>2.8587962962962963E-3</v>
      </c>
      <c r="L366" s="59" t="s">
        <v>1162</v>
      </c>
      <c r="M366" s="51"/>
      <c r="N366" s="51"/>
      <c r="O366" s="51"/>
      <c r="P366" s="51"/>
      <c r="Q366" s="37" t="str">
        <f t="shared" ca="1" si="0"/>
        <v/>
      </c>
      <c r="R366" s="52"/>
      <c r="S366" s="52"/>
      <c r="T366" s="52"/>
      <c r="U366" s="61"/>
      <c r="V366" s="62"/>
      <c r="W366" s="63"/>
      <c r="X366" s="64"/>
      <c r="Y366" s="18"/>
      <c r="Z366" s="18"/>
      <c r="AA366" s="18"/>
      <c r="AB366" s="18"/>
    </row>
    <row r="367" spans="1:28">
      <c r="A367" s="51">
        <v>366</v>
      </c>
      <c r="B367" s="52"/>
      <c r="C367" s="61"/>
      <c r="D367" s="51"/>
      <c r="E367" s="51" t="s">
        <v>1325</v>
      </c>
      <c r="F367" s="55" t="s">
        <v>1326</v>
      </c>
      <c r="G367" s="56"/>
      <c r="H367" s="57"/>
      <c r="I367" s="51"/>
      <c r="J367" s="51">
        <f>925</f>
        <v>925</v>
      </c>
      <c r="K367" s="58">
        <v>1.2037037037037038E-3</v>
      </c>
      <c r="L367" s="59" t="s">
        <v>1162</v>
      </c>
      <c r="M367" s="51"/>
      <c r="N367" s="51"/>
      <c r="O367" s="51"/>
      <c r="P367" s="51"/>
      <c r="Q367" s="37" t="str">
        <f t="shared" ca="1" si="0"/>
        <v/>
      </c>
      <c r="R367" s="52"/>
      <c r="S367" s="52"/>
      <c r="T367" s="52"/>
      <c r="U367" s="61"/>
      <c r="V367" s="62"/>
      <c r="W367" s="63"/>
      <c r="X367" s="64"/>
      <c r="Y367" s="18"/>
      <c r="Z367" s="18"/>
      <c r="AA367" s="18"/>
      <c r="AB367" s="18"/>
    </row>
    <row r="368" spans="1:28">
      <c r="A368" s="51">
        <v>367</v>
      </c>
      <c r="B368" s="52"/>
      <c r="C368" s="61"/>
      <c r="D368" s="51"/>
      <c r="E368" s="51" t="s">
        <v>1327</v>
      </c>
      <c r="F368" s="55" t="s">
        <v>1328</v>
      </c>
      <c r="G368" s="56"/>
      <c r="H368" s="57"/>
      <c r="I368" s="51"/>
      <c r="J368" s="51">
        <f>12*1000</f>
        <v>12000</v>
      </c>
      <c r="K368" s="58">
        <v>1.8634259259259261E-3</v>
      </c>
      <c r="L368" s="59" t="s">
        <v>1162</v>
      </c>
      <c r="M368" s="51"/>
      <c r="N368" s="51"/>
      <c r="O368" s="51"/>
      <c r="P368" s="51"/>
      <c r="Q368" s="37" t="str">
        <f t="shared" ca="1" si="0"/>
        <v/>
      </c>
      <c r="R368" s="52"/>
      <c r="S368" s="52"/>
      <c r="T368" s="52"/>
      <c r="U368" s="61"/>
      <c r="V368" s="62"/>
      <c r="W368" s="63"/>
      <c r="X368" s="64"/>
      <c r="Y368" s="18"/>
      <c r="Z368" s="18"/>
      <c r="AA368" s="18"/>
      <c r="AB368" s="18"/>
    </row>
    <row r="369" spans="1:28">
      <c r="A369" s="51">
        <v>368</v>
      </c>
      <c r="B369" s="52"/>
      <c r="C369" s="61"/>
      <c r="D369" s="51"/>
      <c r="E369" s="51" t="s">
        <v>1329</v>
      </c>
      <c r="F369" s="55" t="s">
        <v>1330</v>
      </c>
      <c r="G369" s="56"/>
      <c r="H369" s="57"/>
      <c r="I369" s="51"/>
      <c r="J369" s="51">
        <f>13*1000</f>
        <v>13000</v>
      </c>
      <c r="K369" s="58">
        <v>1.5914351851851853E-2</v>
      </c>
      <c r="L369" s="59" t="s">
        <v>1162</v>
      </c>
      <c r="M369" s="51"/>
      <c r="N369" s="51"/>
      <c r="O369" s="51"/>
      <c r="P369" s="51"/>
      <c r="Q369" s="37" t="str">
        <f t="shared" ca="1" si="0"/>
        <v/>
      </c>
      <c r="R369" s="52"/>
      <c r="S369" s="52"/>
      <c r="T369" s="52"/>
      <c r="U369" s="61"/>
      <c r="V369" s="62"/>
      <c r="W369" s="63"/>
      <c r="X369" s="64"/>
      <c r="Y369" s="18"/>
      <c r="Z369" s="18"/>
      <c r="AA369" s="18"/>
      <c r="AB369" s="18"/>
    </row>
    <row r="370" spans="1:28">
      <c r="A370" s="51">
        <v>369</v>
      </c>
      <c r="B370" s="52"/>
      <c r="C370" s="61"/>
      <c r="D370" s="51"/>
      <c r="E370" s="51" t="s">
        <v>1331</v>
      </c>
      <c r="F370" s="55" t="s">
        <v>1332</v>
      </c>
      <c r="G370" s="56"/>
      <c r="H370" s="57"/>
      <c r="I370" s="51"/>
      <c r="J370" s="51">
        <f>193</f>
        <v>193</v>
      </c>
      <c r="K370" s="58">
        <v>3.8773148148148143E-3</v>
      </c>
      <c r="L370" s="59" t="s">
        <v>1162</v>
      </c>
      <c r="M370" s="51"/>
      <c r="N370" s="51"/>
      <c r="O370" s="51"/>
      <c r="P370" s="51"/>
      <c r="Q370" s="37" t="str">
        <f t="shared" ca="1" si="0"/>
        <v/>
      </c>
      <c r="R370" s="52"/>
      <c r="S370" s="52"/>
      <c r="T370" s="52"/>
      <c r="U370" s="61"/>
      <c r="V370" s="62"/>
      <c r="W370" s="63"/>
      <c r="X370" s="64"/>
      <c r="Y370" s="18"/>
      <c r="Z370" s="18"/>
      <c r="AA370" s="18"/>
      <c r="AB370" s="18"/>
    </row>
    <row r="371" spans="1:28">
      <c r="A371" s="51">
        <v>370</v>
      </c>
      <c r="B371" s="52"/>
      <c r="C371" s="61"/>
      <c r="D371" s="51"/>
      <c r="E371" s="51" t="s">
        <v>1333</v>
      </c>
      <c r="F371" s="55" t="s">
        <v>1334</v>
      </c>
      <c r="G371" s="56"/>
      <c r="H371" s="57"/>
      <c r="I371" s="51"/>
      <c r="J371" s="51">
        <f>219</f>
        <v>219</v>
      </c>
      <c r="K371" s="58">
        <v>2.1296296296296298E-3</v>
      </c>
      <c r="L371" s="59" t="s">
        <v>1162</v>
      </c>
      <c r="M371" s="51"/>
      <c r="N371" s="51"/>
      <c r="O371" s="51"/>
      <c r="P371" s="51"/>
      <c r="Q371" s="37" t="str">
        <f t="shared" ca="1" si="0"/>
        <v/>
      </c>
      <c r="R371" s="52"/>
      <c r="S371" s="52"/>
      <c r="T371" s="52"/>
      <c r="U371" s="61"/>
      <c r="V371" s="62"/>
      <c r="W371" s="63"/>
      <c r="X371" s="64"/>
      <c r="Y371" s="18"/>
      <c r="Z371" s="18"/>
      <c r="AA371" s="18"/>
      <c r="AB371" s="18"/>
    </row>
    <row r="372" spans="1:28">
      <c r="A372" s="51">
        <v>371</v>
      </c>
      <c r="B372" s="52"/>
      <c r="C372" s="61"/>
      <c r="D372" s="51"/>
      <c r="E372" s="51" t="s">
        <v>1335</v>
      </c>
      <c r="F372" s="55" t="s">
        <v>1336</v>
      </c>
      <c r="G372" s="56"/>
      <c r="H372" s="57"/>
      <c r="I372" s="51"/>
      <c r="J372" s="51">
        <f>413</f>
        <v>413</v>
      </c>
      <c r="K372" s="58">
        <v>2.4189814814814816E-3</v>
      </c>
      <c r="L372" s="59" t="s">
        <v>1162</v>
      </c>
      <c r="M372" s="51"/>
      <c r="N372" s="51"/>
      <c r="O372" s="51"/>
      <c r="P372" s="51"/>
      <c r="Q372" s="37" t="str">
        <f t="shared" ca="1" si="0"/>
        <v/>
      </c>
      <c r="R372" s="52"/>
      <c r="S372" s="52"/>
      <c r="T372" s="52"/>
      <c r="U372" s="61"/>
      <c r="V372" s="62"/>
      <c r="W372" s="63"/>
      <c r="X372" s="64"/>
      <c r="Y372" s="18"/>
      <c r="Z372" s="18"/>
      <c r="AA372" s="18"/>
      <c r="AB372" s="18"/>
    </row>
    <row r="373" spans="1:28">
      <c r="A373" s="51">
        <v>372</v>
      </c>
      <c r="B373" s="52"/>
      <c r="C373" s="61"/>
      <c r="D373" s="51"/>
      <c r="E373" s="51" t="s">
        <v>1337</v>
      </c>
      <c r="F373" s="55" t="s">
        <v>1338</v>
      </c>
      <c r="G373" s="56"/>
      <c r="H373" s="57"/>
      <c r="I373" s="51"/>
      <c r="J373" s="51">
        <f>126</f>
        <v>126</v>
      </c>
      <c r="K373" s="58">
        <v>1.6203703703703703E-3</v>
      </c>
      <c r="L373" s="59" t="s">
        <v>1162</v>
      </c>
      <c r="M373" s="51"/>
      <c r="N373" s="51"/>
      <c r="O373" s="51"/>
      <c r="P373" s="51"/>
      <c r="Q373" s="37" t="str">
        <f t="shared" ca="1" si="0"/>
        <v/>
      </c>
      <c r="R373" s="52"/>
      <c r="S373" s="52"/>
      <c r="T373" s="52"/>
      <c r="U373" s="61"/>
      <c r="V373" s="62"/>
      <c r="W373" s="63"/>
      <c r="X373" s="64"/>
      <c r="Y373" s="18"/>
      <c r="Z373" s="18"/>
      <c r="AA373" s="18"/>
      <c r="AB373" s="18"/>
    </row>
    <row r="374" spans="1:28">
      <c r="A374" s="51">
        <v>373</v>
      </c>
      <c r="B374" s="52"/>
      <c r="C374" s="61"/>
      <c r="D374" s="51"/>
      <c r="E374" s="51" t="s">
        <v>1339</v>
      </c>
      <c r="F374" s="55" t="s">
        <v>1340</v>
      </c>
      <c r="G374" s="56"/>
      <c r="H374" s="57"/>
      <c r="I374" s="51"/>
      <c r="J374" s="51">
        <f>154</f>
        <v>154</v>
      </c>
      <c r="K374" s="58">
        <v>3.3680555555555551E-3</v>
      </c>
      <c r="L374" s="59" t="s">
        <v>1162</v>
      </c>
      <c r="M374" s="51"/>
      <c r="N374" s="51"/>
      <c r="O374" s="51"/>
      <c r="P374" s="51"/>
      <c r="Q374" s="37" t="str">
        <f t="shared" ca="1" si="0"/>
        <v/>
      </c>
      <c r="R374" s="52"/>
      <c r="S374" s="52"/>
      <c r="T374" s="52"/>
      <c r="U374" s="61"/>
      <c r="V374" s="62"/>
      <c r="W374" s="63"/>
      <c r="X374" s="64"/>
      <c r="Y374" s="18"/>
      <c r="Z374" s="18"/>
      <c r="AA374" s="18"/>
      <c r="AB374" s="18"/>
    </row>
    <row r="375" spans="1:28">
      <c r="A375" s="51">
        <v>374</v>
      </c>
      <c r="B375" s="52"/>
      <c r="C375" s="61"/>
      <c r="D375" s="51"/>
      <c r="E375" s="51" t="s">
        <v>1341</v>
      </c>
      <c r="F375" s="55" t="s">
        <v>1342</v>
      </c>
      <c r="G375" s="56"/>
      <c r="H375" s="57"/>
      <c r="I375" s="51"/>
      <c r="J375" s="51">
        <f>119</f>
        <v>119</v>
      </c>
      <c r="K375" s="58">
        <v>2.3263888888888887E-3</v>
      </c>
      <c r="L375" s="59" t="s">
        <v>1162</v>
      </c>
      <c r="M375" s="51"/>
      <c r="N375" s="51"/>
      <c r="O375" s="51"/>
      <c r="P375" s="51"/>
      <c r="Q375" s="37" t="str">
        <f t="shared" ca="1" si="0"/>
        <v/>
      </c>
      <c r="R375" s="52"/>
      <c r="S375" s="52"/>
      <c r="T375" s="52"/>
      <c r="U375" s="61"/>
      <c r="V375" s="62"/>
      <c r="W375" s="63"/>
      <c r="X375" s="64"/>
      <c r="Y375" s="18"/>
      <c r="Z375" s="18"/>
      <c r="AA375" s="18"/>
      <c r="AB375" s="18"/>
    </row>
    <row r="376" spans="1:28">
      <c r="A376" s="51">
        <v>375</v>
      </c>
      <c r="B376" s="52"/>
      <c r="C376" s="61"/>
      <c r="D376" s="51"/>
      <c r="E376" s="51" t="s">
        <v>1343</v>
      </c>
      <c r="F376" s="55" t="s">
        <v>1344</v>
      </c>
      <c r="G376" s="56"/>
      <c r="H376" s="57"/>
      <c r="I376" s="51"/>
      <c r="J376" s="51">
        <f>241</f>
        <v>241</v>
      </c>
      <c r="K376" s="58">
        <v>8.7962962962962962E-4</v>
      </c>
      <c r="L376" s="59" t="s">
        <v>1162</v>
      </c>
      <c r="M376" s="51"/>
      <c r="N376" s="51"/>
      <c r="O376" s="51"/>
      <c r="P376" s="51"/>
      <c r="Q376" s="37" t="str">
        <f t="shared" ca="1" si="0"/>
        <v/>
      </c>
      <c r="R376" s="52"/>
      <c r="S376" s="52"/>
      <c r="T376" s="52"/>
      <c r="U376" s="61"/>
      <c r="V376" s="62"/>
      <c r="W376" s="63"/>
      <c r="X376" s="64"/>
      <c r="Y376" s="18"/>
      <c r="Z376" s="18"/>
      <c r="AA376" s="18"/>
      <c r="AB376" s="18"/>
    </row>
    <row r="377" spans="1:28">
      <c r="A377" s="51">
        <v>376</v>
      </c>
      <c r="B377" s="52"/>
      <c r="C377" s="61"/>
      <c r="D377" s="51"/>
      <c r="E377" s="51" t="s">
        <v>1345</v>
      </c>
      <c r="F377" s="55" t="s">
        <v>1346</v>
      </c>
      <c r="G377" s="56"/>
      <c r="H377" s="57"/>
      <c r="I377" s="51"/>
      <c r="J377" s="51">
        <f>13*1000</f>
        <v>13000</v>
      </c>
      <c r="K377" s="58">
        <v>8.2986111111111108E-3</v>
      </c>
      <c r="L377" s="59" t="s">
        <v>1162</v>
      </c>
      <c r="M377" s="51"/>
      <c r="N377" s="51"/>
      <c r="O377" s="51"/>
      <c r="P377" s="51"/>
      <c r="Q377" s="37" t="str">
        <f t="shared" ca="1" si="0"/>
        <v/>
      </c>
      <c r="R377" s="52"/>
      <c r="S377" s="52"/>
      <c r="T377" s="52"/>
      <c r="U377" s="61"/>
      <c r="V377" s="62"/>
      <c r="W377" s="63"/>
      <c r="X377" s="64"/>
      <c r="Y377" s="18"/>
      <c r="Z377" s="18"/>
      <c r="AA377" s="18"/>
      <c r="AB377" s="18"/>
    </row>
    <row r="378" spans="1:28">
      <c r="A378" s="51">
        <v>377</v>
      </c>
      <c r="B378" s="52"/>
      <c r="C378" s="61"/>
      <c r="D378" s="51"/>
      <c r="E378" s="51" t="s">
        <v>1347</v>
      </c>
      <c r="F378" s="55" t="s">
        <v>1348</v>
      </c>
      <c r="G378" s="56"/>
      <c r="H378" s="57"/>
      <c r="I378" s="51"/>
      <c r="J378" s="51">
        <f>20*1000</f>
        <v>20000</v>
      </c>
      <c r="K378" s="58">
        <v>6.7592592592592591E-3</v>
      </c>
      <c r="L378" s="59" t="s">
        <v>1162</v>
      </c>
      <c r="M378" s="51"/>
      <c r="N378" s="51"/>
      <c r="O378" s="51"/>
      <c r="P378" s="51"/>
      <c r="Q378" s="37" t="str">
        <f t="shared" ca="1" si="0"/>
        <v/>
      </c>
      <c r="R378" s="52"/>
      <c r="S378" s="52"/>
      <c r="T378" s="52"/>
      <c r="U378" s="61"/>
      <c r="V378" s="62"/>
      <c r="W378" s="63"/>
      <c r="X378" s="64"/>
      <c r="Y378" s="18"/>
      <c r="Z378" s="18"/>
      <c r="AA378" s="18"/>
      <c r="AB378" s="18"/>
    </row>
    <row r="379" spans="1:28">
      <c r="A379" s="51">
        <v>378</v>
      </c>
      <c r="B379" s="52"/>
      <c r="C379" s="61"/>
      <c r="D379" s="51"/>
      <c r="E379" s="51" t="s">
        <v>1349</v>
      </c>
      <c r="F379" s="55" t="s">
        <v>1350</v>
      </c>
      <c r="G379" s="56"/>
      <c r="H379" s="57"/>
      <c r="I379" s="51"/>
      <c r="J379" s="51">
        <f>844</f>
        <v>844</v>
      </c>
      <c r="K379" s="58">
        <v>2.5347222222222221E-3</v>
      </c>
      <c r="L379" s="59" t="s">
        <v>1162</v>
      </c>
      <c r="M379" s="51"/>
      <c r="N379" s="51"/>
      <c r="O379" s="51"/>
      <c r="P379" s="51"/>
      <c r="Q379" s="37" t="str">
        <f t="shared" ca="1" si="0"/>
        <v/>
      </c>
      <c r="R379" s="52"/>
      <c r="S379" s="52"/>
      <c r="T379" s="52"/>
      <c r="U379" s="61"/>
      <c r="V379" s="62"/>
      <c r="W379" s="63"/>
      <c r="X379" s="64"/>
      <c r="Y379" s="18"/>
      <c r="Z379" s="18"/>
      <c r="AA379" s="18"/>
      <c r="AB379" s="18"/>
    </row>
    <row r="380" spans="1:28">
      <c r="A380" s="51">
        <v>379</v>
      </c>
      <c r="B380" s="52"/>
      <c r="C380" s="61"/>
      <c r="D380" s="51"/>
      <c r="E380" s="51" t="s">
        <v>1351</v>
      </c>
      <c r="F380" s="55" t="s">
        <v>1352</v>
      </c>
      <c r="G380" s="56"/>
      <c r="H380" s="57"/>
      <c r="I380" s="51"/>
      <c r="J380" s="51">
        <f>904</f>
        <v>904</v>
      </c>
      <c r="K380" s="58">
        <v>5.37037037037037E-3</v>
      </c>
      <c r="L380" s="59" t="s">
        <v>1162</v>
      </c>
      <c r="M380" s="51"/>
      <c r="N380" s="51"/>
      <c r="O380" s="51"/>
      <c r="P380" s="51"/>
      <c r="Q380" s="37" t="str">
        <f t="shared" ca="1" si="0"/>
        <v/>
      </c>
      <c r="R380" s="52"/>
      <c r="S380" s="52"/>
      <c r="T380" s="52"/>
      <c r="U380" s="61"/>
      <c r="V380" s="62"/>
      <c r="W380" s="63"/>
      <c r="X380" s="64"/>
      <c r="Y380" s="18"/>
      <c r="Z380" s="18"/>
      <c r="AA380" s="18"/>
      <c r="AB380" s="18"/>
    </row>
    <row r="381" spans="1:28">
      <c r="A381" s="51">
        <v>380</v>
      </c>
      <c r="B381" s="52"/>
      <c r="C381" s="61"/>
      <c r="D381" s="51"/>
      <c r="E381" s="51" t="s">
        <v>1353</v>
      </c>
      <c r="F381" s="55" t="s">
        <v>1354</v>
      </c>
      <c r="G381" s="56"/>
      <c r="H381" s="57"/>
      <c r="I381" s="51"/>
      <c r="J381" s="51">
        <f>384</f>
        <v>384</v>
      </c>
      <c r="K381" s="58">
        <v>1.7592592592592592E-3</v>
      </c>
      <c r="L381" s="59" t="s">
        <v>1162</v>
      </c>
      <c r="M381" s="51"/>
      <c r="N381" s="51"/>
      <c r="O381" s="51"/>
      <c r="P381" s="51"/>
      <c r="Q381" s="37" t="str">
        <f t="shared" ca="1" si="0"/>
        <v/>
      </c>
      <c r="R381" s="52"/>
      <c r="S381" s="52"/>
      <c r="T381" s="52"/>
      <c r="U381" s="61"/>
      <c r="V381" s="62"/>
      <c r="W381" s="63"/>
      <c r="X381" s="64"/>
      <c r="Y381" s="18"/>
      <c r="Z381" s="18"/>
      <c r="AA381" s="18"/>
      <c r="AB381" s="18"/>
    </row>
    <row r="382" spans="1:28">
      <c r="A382" s="51">
        <v>381</v>
      </c>
      <c r="B382" s="52"/>
      <c r="C382" s="61"/>
      <c r="D382" s="51"/>
      <c r="E382" s="51" t="s">
        <v>1355</v>
      </c>
      <c r="F382" s="55" t="s">
        <v>1356</v>
      </c>
      <c r="G382" s="56"/>
      <c r="H382" s="57"/>
      <c r="I382" s="51"/>
      <c r="J382" s="51">
        <f>43*1000</f>
        <v>43000</v>
      </c>
      <c r="K382" s="58">
        <v>4.9652777777777777E-3</v>
      </c>
      <c r="L382" s="59" t="s">
        <v>1162</v>
      </c>
      <c r="M382" s="51"/>
      <c r="N382" s="51"/>
      <c r="O382" s="51"/>
      <c r="P382" s="51"/>
      <c r="Q382" s="37" t="str">
        <f t="shared" ca="1" si="0"/>
        <v/>
      </c>
      <c r="R382" s="52"/>
      <c r="S382" s="52"/>
      <c r="T382" s="52"/>
      <c r="U382" s="61"/>
      <c r="V382" s="62"/>
      <c r="W382" s="63"/>
      <c r="X382" s="64"/>
      <c r="Y382" s="18"/>
      <c r="Z382" s="18"/>
      <c r="AA382" s="18"/>
      <c r="AB382" s="18"/>
    </row>
    <row r="383" spans="1:28">
      <c r="A383" s="51">
        <v>382</v>
      </c>
      <c r="B383" s="52"/>
      <c r="C383" s="61"/>
      <c r="D383" s="51"/>
      <c r="E383" s="51" t="s">
        <v>1357</v>
      </c>
      <c r="F383" s="55" t="s">
        <v>1358</v>
      </c>
      <c r="G383" s="56"/>
      <c r="H383" s="57"/>
      <c r="I383" s="51"/>
      <c r="J383" s="51">
        <f>1.3*1000</f>
        <v>1300</v>
      </c>
      <c r="K383" s="58">
        <v>1.1689814814814814E-2</v>
      </c>
      <c r="L383" s="59" t="s">
        <v>1162</v>
      </c>
      <c r="M383" s="51"/>
      <c r="N383" s="51"/>
      <c r="O383" s="51"/>
      <c r="P383" s="51"/>
      <c r="Q383" s="37" t="str">
        <f t="shared" ca="1" si="0"/>
        <v/>
      </c>
      <c r="R383" s="52"/>
      <c r="S383" s="52"/>
      <c r="T383" s="52"/>
      <c r="U383" s="61"/>
      <c r="V383" s="62"/>
      <c r="W383" s="63"/>
      <c r="X383" s="64"/>
      <c r="Y383" s="18"/>
      <c r="Z383" s="18"/>
      <c r="AA383" s="18"/>
      <c r="AB383" s="18"/>
    </row>
    <row r="384" spans="1:28">
      <c r="A384" s="51">
        <v>383</v>
      </c>
      <c r="B384" s="52"/>
      <c r="C384" s="61"/>
      <c r="D384" s="51"/>
      <c r="E384" s="51" t="s">
        <v>1359</v>
      </c>
      <c r="F384" s="55" t="s">
        <v>1360</v>
      </c>
      <c r="G384" s="56"/>
      <c r="H384" s="57"/>
      <c r="I384" s="51"/>
      <c r="J384" s="51">
        <f>1.1*1000</f>
        <v>1100</v>
      </c>
      <c r="K384" s="58">
        <v>2.7199074074074074E-3</v>
      </c>
      <c r="L384" s="59" t="s">
        <v>1162</v>
      </c>
      <c r="M384" s="51"/>
      <c r="N384" s="51"/>
      <c r="O384" s="51"/>
      <c r="P384" s="51"/>
      <c r="Q384" s="37" t="str">
        <f t="shared" ca="1" si="0"/>
        <v/>
      </c>
      <c r="R384" s="52"/>
      <c r="S384" s="52"/>
      <c r="T384" s="52"/>
      <c r="U384" s="61"/>
      <c r="V384" s="62"/>
      <c r="W384" s="63"/>
      <c r="X384" s="64"/>
      <c r="Y384" s="18"/>
      <c r="Z384" s="18"/>
      <c r="AA384" s="18"/>
      <c r="AB384" s="18"/>
    </row>
    <row r="385" spans="1:28">
      <c r="A385" s="51">
        <v>384</v>
      </c>
      <c r="B385" s="52"/>
      <c r="C385" s="61"/>
      <c r="D385" s="51"/>
      <c r="E385" s="51" t="s">
        <v>1361</v>
      </c>
      <c r="F385" s="55" t="s">
        <v>1362</v>
      </c>
      <c r="G385" s="56"/>
      <c r="H385" s="57"/>
      <c r="I385" s="51"/>
      <c r="J385" s="51">
        <f>947</f>
        <v>947</v>
      </c>
      <c r="K385" s="58">
        <v>2.0254629629629629E-3</v>
      </c>
      <c r="L385" s="59" t="s">
        <v>1162</v>
      </c>
      <c r="M385" s="51"/>
      <c r="N385" s="51"/>
      <c r="O385" s="51"/>
      <c r="P385" s="51"/>
      <c r="Q385" s="37" t="str">
        <f t="shared" ca="1" si="0"/>
        <v/>
      </c>
      <c r="R385" s="52"/>
      <c r="S385" s="52"/>
      <c r="T385" s="52"/>
      <c r="U385" s="61"/>
      <c r="V385" s="62"/>
      <c r="W385" s="63"/>
      <c r="X385" s="64"/>
      <c r="Y385" s="18"/>
      <c r="Z385" s="18"/>
      <c r="AA385" s="18"/>
      <c r="AB385" s="18"/>
    </row>
    <row r="386" spans="1:28">
      <c r="A386" s="51">
        <v>385</v>
      </c>
      <c r="B386" s="52"/>
      <c r="C386" s="61"/>
      <c r="D386" s="51"/>
      <c r="E386" s="51" t="s">
        <v>1363</v>
      </c>
      <c r="F386" s="55" t="s">
        <v>1364</v>
      </c>
      <c r="G386" s="56"/>
      <c r="H386" s="57"/>
      <c r="I386" s="51"/>
      <c r="J386" s="51">
        <f>405</f>
        <v>405</v>
      </c>
      <c r="K386" s="58">
        <v>3.4375E-3</v>
      </c>
      <c r="L386" s="59" t="s">
        <v>1162</v>
      </c>
      <c r="M386" s="51"/>
      <c r="N386" s="51"/>
      <c r="O386" s="51"/>
      <c r="P386" s="51"/>
      <c r="Q386" s="37" t="str">
        <f t="shared" ca="1" si="0"/>
        <v/>
      </c>
      <c r="R386" s="52"/>
      <c r="S386" s="52"/>
      <c r="T386" s="52"/>
      <c r="U386" s="61"/>
      <c r="V386" s="62"/>
      <c r="W386" s="63"/>
      <c r="X386" s="64"/>
      <c r="Y386" s="18"/>
      <c r="Z386" s="18"/>
      <c r="AA386" s="18"/>
      <c r="AB386" s="18"/>
    </row>
    <row r="387" spans="1:28">
      <c r="A387" s="51">
        <v>386</v>
      </c>
      <c r="B387" s="52"/>
      <c r="C387" s="61"/>
      <c r="D387" s="51"/>
      <c r="E387" s="51" t="s">
        <v>1365</v>
      </c>
      <c r="F387" s="55" t="s">
        <v>1366</v>
      </c>
      <c r="G387" s="56"/>
      <c r="H387" s="57"/>
      <c r="I387" s="51"/>
      <c r="J387" s="51">
        <f>365</f>
        <v>365</v>
      </c>
      <c r="K387" s="58">
        <v>2.9745370370370373E-3</v>
      </c>
      <c r="L387" s="59" t="s">
        <v>1162</v>
      </c>
      <c r="M387" s="51"/>
      <c r="N387" s="51"/>
      <c r="O387" s="51"/>
      <c r="P387" s="51"/>
      <c r="Q387" s="37" t="str">
        <f t="shared" ca="1" si="0"/>
        <v/>
      </c>
      <c r="R387" s="52"/>
      <c r="S387" s="52"/>
      <c r="T387" s="52"/>
      <c r="U387" s="61"/>
      <c r="V387" s="62"/>
      <c r="W387" s="63"/>
      <c r="X387" s="64"/>
      <c r="Y387" s="18"/>
      <c r="Z387" s="18"/>
      <c r="AA387" s="18"/>
      <c r="AB387" s="18"/>
    </row>
    <row r="388" spans="1:28">
      <c r="A388" s="51">
        <v>387</v>
      </c>
      <c r="B388" s="52"/>
      <c r="C388" s="61"/>
      <c r="D388" s="51"/>
      <c r="E388" s="51" t="s">
        <v>1367</v>
      </c>
      <c r="F388" s="55" t="s">
        <v>1368</v>
      </c>
      <c r="G388" s="56"/>
      <c r="H388" s="57"/>
      <c r="I388" s="51"/>
      <c r="J388" s="51">
        <f>728</f>
        <v>728</v>
      </c>
      <c r="K388" s="58">
        <v>3.37962962962963E-3</v>
      </c>
      <c r="L388" s="59" t="s">
        <v>1162</v>
      </c>
      <c r="M388" s="51"/>
      <c r="N388" s="51"/>
      <c r="O388" s="51"/>
      <c r="P388" s="51"/>
      <c r="Q388" s="37" t="str">
        <f t="shared" ca="1" si="0"/>
        <v/>
      </c>
      <c r="R388" s="52"/>
      <c r="S388" s="52"/>
      <c r="T388" s="52"/>
      <c r="U388" s="61"/>
      <c r="V388" s="62"/>
      <c r="W388" s="63"/>
      <c r="X388" s="64"/>
      <c r="Y388" s="18"/>
      <c r="Z388" s="18"/>
      <c r="AA388" s="18"/>
      <c r="AB388" s="18"/>
    </row>
    <row r="389" spans="1:28">
      <c r="A389" s="51">
        <v>388</v>
      </c>
      <c r="B389" s="52"/>
      <c r="C389" s="61"/>
      <c r="D389" s="51"/>
      <c r="E389" s="51" t="s">
        <v>1369</v>
      </c>
      <c r="F389" s="55" t="s">
        <v>1370</v>
      </c>
      <c r="G389" s="56"/>
      <c r="H389" s="57"/>
      <c r="I389" s="51"/>
      <c r="J389" s="51">
        <f>3.7*1000</f>
        <v>3700</v>
      </c>
      <c r="K389" s="58">
        <v>3.1782407407407405E-2</v>
      </c>
      <c r="L389" s="59" t="s">
        <v>1162</v>
      </c>
      <c r="M389" s="51"/>
      <c r="N389" s="51"/>
      <c r="O389" s="51"/>
      <c r="P389" s="51"/>
      <c r="Q389" s="37" t="str">
        <f t="shared" ca="1" si="0"/>
        <v/>
      </c>
      <c r="R389" s="52"/>
      <c r="S389" s="52"/>
      <c r="T389" s="52"/>
      <c r="U389" s="61"/>
      <c r="V389" s="62"/>
      <c r="W389" s="63"/>
      <c r="X389" s="64"/>
      <c r="Y389" s="18"/>
      <c r="Z389" s="18"/>
      <c r="AA389" s="18"/>
      <c r="AB389" s="18"/>
    </row>
    <row r="390" spans="1:28">
      <c r="A390" s="51">
        <v>389</v>
      </c>
      <c r="B390" s="52"/>
      <c r="C390" s="61"/>
      <c r="D390" s="51"/>
      <c r="E390" s="51" t="s">
        <v>1371</v>
      </c>
      <c r="F390" s="55" t="s">
        <v>1372</v>
      </c>
      <c r="G390" s="56"/>
      <c r="H390" s="57"/>
      <c r="I390" s="51"/>
      <c r="J390" s="51">
        <f>634</f>
        <v>634</v>
      </c>
      <c r="K390" s="58">
        <v>2.2337962962962967E-3</v>
      </c>
      <c r="L390" s="59" t="s">
        <v>1162</v>
      </c>
      <c r="M390" s="51"/>
      <c r="N390" s="51"/>
      <c r="O390" s="51"/>
      <c r="P390" s="51"/>
      <c r="Q390" s="37" t="str">
        <f t="shared" ca="1" si="0"/>
        <v/>
      </c>
      <c r="R390" s="52"/>
      <c r="S390" s="52"/>
      <c r="T390" s="52"/>
      <c r="U390" s="61"/>
      <c r="V390" s="62"/>
      <c r="W390" s="63"/>
      <c r="X390" s="64"/>
      <c r="Y390" s="18"/>
      <c r="Z390" s="18"/>
      <c r="AA390" s="18"/>
      <c r="AB390" s="18"/>
    </row>
    <row r="391" spans="1:28">
      <c r="A391" s="51">
        <v>390</v>
      </c>
      <c r="B391" s="52"/>
      <c r="C391" s="61"/>
      <c r="D391" s="51"/>
      <c r="E391" s="51" t="s">
        <v>1373</v>
      </c>
      <c r="F391" s="55" t="s">
        <v>1374</v>
      </c>
      <c r="G391" s="56"/>
      <c r="H391" s="57"/>
      <c r="I391" s="51"/>
      <c r="J391" s="51">
        <f>387</f>
        <v>387</v>
      </c>
      <c r="K391" s="58">
        <v>1.8171296296296297E-3</v>
      </c>
      <c r="L391" s="59" t="s">
        <v>1162</v>
      </c>
      <c r="M391" s="51"/>
      <c r="N391" s="51"/>
      <c r="O391" s="51"/>
      <c r="P391" s="51"/>
      <c r="Q391" s="37" t="str">
        <f t="shared" ca="1" si="0"/>
        <v/>
      </c>
      <c r="R391" s="52"/>
      <c r="S391" s="52"/>
      <c r="T391" s="52"/>
      <c r="U391" s="61"/>
      <c r="V391" s="62"/>
      <c r="W391" s="63"/>
      <c r="X391" s="64"/>
      <c r="Y391" s="18"/>
      <c r="Z391" s="18"/>
      <c r="AA391" s="18"/>
      <c r="AB391" s="18"/>
    </row>
    <row r="392" spans="1:28">
      <c r="A392" s="51">
        <v>391</v>
      </c>
      <c r="B392" s="52"/>
      <c r="C392" s="61"/>
      <c r="D392" s="51"/>
      <c r="E392" s="51" t="s">
        <v>1375</v>
      </c>
      <c r="F392" s="55" t="s">
        <v>1376</v>
      </c>
      <c r="G392" s="56"/>
      <c r="H392" s="57"/>
      <c r="I392" s="51"/>
      <c r="J392" s="51">
        <f>319</f>
        <v>319</v>
      </c>
      <c r="K392" s="58">
        <v>1.8402777777777777E-3</v>
      </c>
      <c r="L392" s="59" t="s">
        <v>1162</v>
      </c>
      <c r="M392" s="51"/>
      <c r="N392" s="51"/>
      <c r="O392" s="51"/>
      <c r="P392" s="51"/>
      <c r="Q392" s="37" t="str">
        <f t="shared" ca="1" si="0"/>
        <v/>
      </c>
      <c r="R392" s="52"/>
      <c r="S392" s="52"/>
      <c r="T392" s="52"/>
      <c r="U392" s="61"/>
      <c r="V392" s="62"/>
      <c r="W392" s="63"/>
      <c r="X392" s="64"/>
      <c r="Y392" s="18"/>
      <c r="Z392" s="18"/>
      <c r="AA392" s="18"/>
      <c r="AB392" s="18"/>
    </row>
    <row r="393" spans="1:28">
      <c r="A393" s="51">
        <v>392</v>
      </c>
      <c r="B393" s="52"/>
      <c r="C393" s="61"/>
      <c r="D393" s="51"/>
      <c r="E393" s="51" t="s">
        <v>1377</v>
      </c>
      <c r="F393" s="55" t="s">
        <v>1378</v>
      </c>
      <c r="G393" s="56"/>
      <c r="H393" s="57"/>
      <c r="I393" s="51"/>
      <c r="J393" s="51">
        <f>282</f>
        <v>282</v>
      </c>
      <c r="K393" s="58">
        <v>1.0995370370370371E-3</v>
      </c>
      <c r="L393" s="59" t="s">
        <v>1162</v>
      </c>
      <c r="M393" s="51"/>
      <c r="N393" s="51"/>
      <c r="O393" s="51"/>
      <c r="P393" s="51"/>
      <c r="Q393" s="37" t="str">
        <f t="shared" ca="1" si="0"/>
        <v/>
      </c>
      <c r="R393" s="52"/>
      <c r="S393" s="52"/>
      <c r="T393" s="52"/>
      <c r="U393" s="61"/>
      <c r="V393" s="62"/>
      <c r="W393" s="63"/>
      <c r="X393" s="64"/>
      <c r="Y393" s="18"/>
      <c r="Z393" s="18"/>
      <c r="AA393" s="18"/>
      <c r="AB393" s="18"/>
    </row>
    <row r="394" spans="1:28">
      <c r="A394" s="51">
        <v>393</v>
      </c>
      <c r="B394" s="52"/>
      <c r="C394" s="61"/>
      <c r="D394" s="51"/>
      <c r="E394" s="51" t="s">
        <v>1379</v>
      </c>
      <c r="F394" s="55" t="s">
        <v>1380</v>
      </c>
      <c r="G394" s="56"/>
      <c r="H394" s="57"/>
      <c r="I394" s="51"/>
      <c r="J394" s="51">
        <f>1*1000</f>
        <v>1000</v>
      </c>
      <c r="K394" s="58">
        <v>5.7986111111111112E-3</v>
      </c>
      <c r="L394" s="59" t="s">
        <v>1162</v>
      </c>
      <c r="M394" s="51"/>
      <c r="N394" s="51"/>
      <c r="O394" s="51"/>
      <c r="P394" s="51"/>
      <c r="Q394" s="37" t="str">
        <f t="shared" ca="1" si="0"/>
        <v/>
      </c>
      <c r="R394" s="52"/>
      <c r="S394" s="52"/>
      <c r="T394" s="52"/>
      <c r="U394" s="61"/>
      <c r="V394" s="62"/>
      <c r="W394" s="63"/>
      <c r="X394" s="64"/>
      <c r="Y394" s="18"/>
      <c r="Z394" s="18"/>
      <c r="AA394" s="18"/>
      <c r="AB394" s="18"/>
    </row>
    <row r="395" spans="1:28">
      <c r="A395" s="51">
        <v>394</v>
      </c>
      <c r="B395" s="52"/>
      <c r="C395" s="61"/>
      <c r="D395" s="51"/>
      <c r="E395" s="51" t="s">
        <v>1381</v>
      </c>
      <c r="F395" s="55" t="s">
        <v>1382</v>
      </c>
      <c r="G395" s="56"/>
      <c r="H395" s="57"/>
      <c r="I395" s="51"/>
      <c r="J395" s="51">
        <f>790</f>
        <v>790</v>
      </c>
      <c r="K395" s="58">
        <v>2.8124999999999995E-3</v>
      </c>
      <c r="L395" s="59" t="s">
        <v>1162</v>
      </c>
      <c r="M395" s="51"/>
      <c r="N395" s="51"/>
      <c r="O395" s="51"/>
      <c r="P395" s="51"/>
      <c r="Q395" s="37" t="str">
        <f t="shared" ca="1" si="0"/>
        <v/>
      </c>
      <c r="R395" s="52"/>
      <c r="S395" s="52"/>
      <c r="T395" s="52"/>
      <c r="U395" s="61"/>
      <c r="V395" s="62"/>
      <c r="W395" s="63"/>
      <c r="X395" s="64"/>
      <c r="Y395" s="18"/>
      <c r="Z395" s="18"/>
      <c r="AA395" s="18"/>
      <c r="AB395" s="18"/>
    </row>
    <row r="396" spans="1:28">
      <c r="A396" s="51">
        <v>395</v>
      </c>
      <c r="B396" s="52"/>
      <c r="C396" s="61"/>
      <c r="D396" s="51"/>
      <c r="E396" s="51" t="s">
        <v>1383</v>
      </c>
      <c r="F396" s="55" t="s">
        <v>1384</v>
      </c>
      <c r="G396" s="56"/>
      <c r="H396" s="57"/>
      <c r="I396" s="51"/>
      <c r="J396" s="51">
        <f>270</f>
        <v>270</v>
      </c>
      <c r="K396" s="58">
        <v>7.7546296296296304E-4</v>
      </c>
      <c r="L396" s="59" t="s">
        <v>1162</v>
      </c>
      <c r="M396" s="51"/>
      <c r="N396" s="51"/>
      <c r="O396" s="51"/>
      <c r="P396" s="51"/>
      <c r="Q396" s="37" t="str">
        <f t="shared" ca="1" si="0"/>
        <v/>
      </c>
      <c r="R396" s="52"/>
      <c r="S396" s="52"/>
      <c r="T396" s="52"/>
      <c r="U396" s="61"/>
      <c r="V396" s="62"/>
      <c r="W396" s="63"/>
      <c r="X396" s="64"/>
      <c r="Y396" s="18"/>
      <c r="Z396" s="18"/>
      <c r="AA396" s="18"/>
      <c r="AB396" s="18"/>
    </row>
    <row r="397" spans="1:28">
      <c r="A397" s="51">
        <v>396</v>
      </c>
      <c r="B397" s="52"/>
      <c r="C397" s="61"/>
      <c r="D397" s="51"/>
      <c r="E397" s="51" t="s">
        <v>1385</v>
      </c>
      <c r="F397" s="55" t="s">
        <v>1386</v>
      </c>
      <c r="G397" s="56"/>
      <c r="H397" s="57"/>
      <c r="I397" s="51"/>
      <c r="J397" s="51">
        <f>9.5*1000</f>
        <v>9500</v>
      </c>
      <c r="K397" s="58">
        <v>1.4224537037037037E-2</v>
      </c>
      <c r="L397" s="59" t="s">
        <v>1162</v>
      </c>
      <c r="M397" s="51"/>
      <c r="N397" s="51"/>
      <c r="O397" s="51"/>
      <c r="P397" s="51"/>
      <c r="Q397" s="37" t="str">
        <f t="shared" ca="1" si="0"/>
        <v/>
      </c>
      <c r="R397" s="52"/>
      <c r="S397" s="52"/>
      <c r="T397" s="52"/>
      <c r="U397" s="61"/>
      <c r="V397" s="62"/>
      <c r="W397" s="63"/>
      <c r="X397" s="64"/>
      <c r="Y397" s="18"/>
      <c r="Z397" s="18"/>
      <c r="AA397" s="18"/>
      <c r="AB397" s="18"/>
    </row>
    <row r="398" spans="1:28">
      <c r="A398" s="51">
        <v>397</v>
      </c>
      <c r="B398" s="52"/>
      <c r="C398" s="61"/>
      <c r="D398" s="51"/>
      <c r="E398" s="51" t="s">
        <v>1387</v>
      </c>
      <c r="F398" s="55" t="s">
        <v>1388</v>
      </c>
      <c r="G398" s="56"/>
      <c r="H398" s="57"/>
      <c r="I398" s="51"/>
      <c r="J398" s="51">
        <f>276</f>
        <v>276</v>
      </c>
      <c r="K398" s="58">
        <v>2.5115740740740741E-3</v>
      </c>
      <c r="L398" s="59" t="s">
        <v>1162</v>
      </c>
      <c r="M398" s="51"/>
      <c r="N398" s="51"/>
      <c r="O398" s="51"/>
      <c r="P398" s="51"/>
      <c r="Q398" s="37" t="str">
        <f t="shared" ca="1" si="0"/>
        <v/>
      </c>
      <c r="R398" s="52"/>
      <c r="S398" s="52"/>
      <c r="T398" s="52"/>
      <c r="U398" s="61"/>
      <c r="V398" s="62"/>
      <c r="W398" s="63"/>
      <c r="X398" s="64"/>
      <c r="Y398" s="18"/>
      <c r="Z398" s="18"/>
      <c r="AA398" s="18"/>
      <c r="AB398" s="18"/>
    </row>
    <row r="399" spans="1:28">
      <c r="A399" s="51">
        <v>398</v>
      </c>
      <c r="B399" s="52"/>
      <c r="C399" s="61"/>
      <c r="D399" s="51"/>
      <c r="E399" s="51" t="s">
        <v>1389</v>
      </c>
      <c r="F399" s="55" t="s">
        <v>1390</v>
      </c>
      <c r="G399" s="56"/>
      <c r="H399" s="57"/>
      <c r="I399" s="51"/>
      <c r="J399" s="51">
        <f>574</f>
        <v>574</v>
      </c>
      <c r="K399" s="58">
        <v>5.0694444444444441E-3</v>
      </c>
      <c r="L399" s="59" t="s">
        <v>1162</v>
      </c>
      <c r="M399" s="51"/>
      <c r="N399" s="51"/>
      <c r="O399" s="51"/>
      <c r="P399" s="51"/>
      <c r="Q399" s="37" t="str">
        <f t="shared" ca="1" si="0"/>
        <v/>
      </c>
      <c r="R399" s="52"/>
      <c r="S399" s="52"/>
      <c r="T399" s="52"/>
      <c r="U399" s="61"/>
      <c r="V399" s="62"/>
      <c r="W399" s="63"/>
      <c r="X399" s="64"/>
      <c r="Y399" s="18"/>
      <c r="Z399" s="18"/>
      <c r="AA399" s="18"/>
      <c r="AB399" s="18"/>
    </row>
    <row r="400" spans="1:28">
      <c r="A400" s="51">
        <v>399</v>
      </c>
      <c r="B400" s="52"/>
      <c r="C400" s="61"/>
      <c r="D400" s="51"/>
      <c r="E400" s="51" t="s">
        <v>1391</v>
      </c>
      <c r="F400" s="55" t="s">
        <v>1392</v>
      </c>
      <c r="G400" s="56"/>
      <c r="H400" s="57"/>
      <c r="I400" s="51"/>
      <c r="J400" s="51">
        <f>612</f>
        <v>612</v>
      </c>
      <c r="K400" s="58">
        <v>1.5393518518518519E-3</v>
      </c>
      <c r="L400" s="59" t="s">
        <v>1162</v>
      </c>
      <c r="M400" s="51"/>
      <c r="N400" s="51"/>
      <c r="O400" s="51"/>
      <c r="P400" s="51"/>
      <c r="Q400" s="37" t="str">
        <f t="shared" ca="1" si="0"/>
        <v/>
      </c>
      <c r="R400" s="52"/>
      <c r="S400" s="52"/>
      <c r="T400" s="52"/>
      <c r="U400" s="61"/>
      <c r="V400" s="62"/>
      <c r="W400" s="63"/>
      <c r="X400" s="64"/>
      <c r="Y400" s="18"/>
      <c r="Z400" s="18"/>
      <c r="AA400" s="18"/>
      <c r="AB400" s="18"/>
    </row>
    <row r="401" spans="1:28">
      <c r="A401" s="51">
        <v>400</v>
      </c>
      <c r="B401" s="52"/>
      <c r="C401" s="61"/>
      <c r="D401" s="51"/>
      <c r="E401" s="51" t="s">
        <v>1393</v>
      </c>
      <c r="F401" s="55" t="s">
        <v>1394</v>
      </c>
      <c r="G401" s="56"/>
      <c r="H401" s="57"/>
      <c r="I401" s="51"/>
      <c r="J401" s="51">
        <f>423</f>
        <v>423</v>
      </c>
      <c r="K401" s="58">
        <v>1.1689814814814816E-3</v>
      </c>
      <c r="L401" s="59" t="s">
        <v>1162</v>
      </c>
      <c r="M401" s="51"/>
      <c r="N401" s="51"/>
      <c r="O401" s="51"/>
      <c r="P401" s="51"/>
      <c r="Q401" s="37" t="str">
        <f t="shared" ca="1" si="0"/>
        <v/>
      </c>
      <c r="R401" s="52"/>
      <c r="S401" s="52"/>
      <c r="T401" s="52"/>
      <c r="U401" s="61"/>
      <c r="V401" s="62"/>
      <c r="W401" s="63"/>
      <c r="X401" s="64"/>
      <c r="Y401" s="18"/>
      <c r="Z401" s="18"/>
      <c r="AA401" s="18"/>
      <c r="AB401" s="18"/>
    </row>
    <row r="402" spans="1:28">
      <c r="A402" s="51">
        <v>401</v>
      </c>
      <c r="B402" s="52"/>
      <c r="C402" s="61"/>
      <c r="D402" s="51"/>
      <c r="E402" s="51" t="s">
        <v>1395</v>
      </c>
      <c r="F402" s="55" t="s">
        <v>1396</v>
      </c>
      <c r="G402" s="56"/>
      <c r="H402" s="57"/>
      <c r="I402" s="51"/>
      <c r="J402" s="51">
        <f>567</f>
        <v>567</v>
      </c>
      <c r="K402" s="58">
        <v>1.3657407407407409E-3</v>
      </c>
      <c r="L402" s="59" t="s">
        <v>1162</v>
      </c>
      <c r="M402" s="51"/>
      <c r="N402" s="51"/>
      <c r="O402" s="51"/>
      <c r="P402" s="51"/>
      <c r="Q402" s="37" t="str">
        <f t="shared" ca="1" si="0"/>
        <v/>
      </c>
      <c r="R402" s="52"/>
      <c r="S402" s="52"/>
      <c r="T402" s="52"/>
      <c r="U402" s="61"/>
      <c r="V402" s="62"/>
      <c r="W402" s="63"/>
      <c r="X402" s="64"/>
      <c r="Y402" s="18"/>
      <c r="Z402" s="18"/>
      <c r="AA402" s="18"/>
      <c r="AB402" s="18"/>
    </row>
    <row r="403" spans="1:28">
      <c r="A403" s="51">
        <v>402</v>
      </c>
      <c r="B403" s="52"/>
      <c r="C403" s="61"/>
      <c r="D403" s="51"/>
      <c r="E403" s="51" t="s">
        <v>1397</v>
      </c>
      <c r="F403" s="55" t="s">
        <v>1398</v>
      </c>
      <c r="G403" s="56"/>
      <c r="H403" s="57"/>
      <c r="I403" s="51"/>
      <c r="J403" s="51">
        <f>231</f>
        <v>231</v>
      </c>
      <c r="K403" s="58">
        <v>2.2685185185185182E-3</v>
      </c>
      <c r="L403" s="59" t="s">
        <v>1162</v>
      </c>
      <c r="M403" s="51"/>
      <c r="N403" s="51"/>
      <c r="O403" s="51"/>
      <c r="P403" s="51"/>
      <c r="Q403" s="37" t="str">
        <f t="shared" ca="1" si="0"/>
        <v/>
      </c>
      <c r="R403" s="52"/>
      <c r="S403" s="52"/>
      <c r="T403" s="52"/>
      <c r="U403" s="61"/>
      <c r="V403" s="62"/>
      <c r="W403" s="63"/>
      <c r="X403" s="64"/>
      <c r="Y403" s="18"/>
      <c r="Z403" s="18"/>
      <c r="AA403" s="18"/>
      <c r="AB403" s="18"/>
    </row>
    <row r="404" spans="1:28">
      <c r="A404" s="51">
        <v>403</v>
      </c>
      <c r="B404" s="52"/>
      <c r="C404" s="61"/>
      <c r="D404" s="51"/>
      <c r="E404" s="51" t="s">
        <v>1399</v>
      </c>
      <c r="F404" s="55" t="s">
        <v>1400</v>
      </c>
      <c r="G404" s="56"/>
      <c r="H404" s="57"/>
      <c r="I404" s="51"/>
      <c r="J404" s="51">
        <f>415</f>
        <v>415</v>
      </c>
      <c r="K404" s="58">
        <v>2.8935185185185188E-3</v>
      </c>
      <c r="L404" s="59" t="s">
        <v>1162</v>
      </c>
      <c r="M404" s="51"/>
      <c r="N404" s="51"/>
      <c r="O404" s="51"/>
      <c r="P404" s="51"/>
      <c r="Q404" s="37" t="str">
        <f t="shared" ca="1" si="0"/>
        <v/>
      </c>
      <c r="R404" s="52"/>
      <c r="S404" s="52"/>
      <c r="T404" s="52"/>
      <c r="U404" s="61"/>
      <c r="V404" s="62"/>
      <c r="W404" s="63"/>
      <c r="X404" s="64"/>
      <c r="Y404" s="18"/>
      <c r="Z404" s="18"/>
      <c r="AA404" s="18"/>
      <c r="AB404" s="18"/>
    </row>
    <row r="405" spans="1:28">
      <c r="A405" s="51">
        <v>404</v>
      </c>
      <c r="B405" s="52"/>
      <c r="C405" s="61"/>
      <c r="D405" s="51"/>
      <c r="E405" s="51" t="s">
        <v>1401</v>
      </c>
      <c r="F405" s="55" t="s">
        <v>1402</v>
      </c>
      <c r="G405" s="56"/>
      <c r="H405" s="57"/>
      <c r="I405" s="51"/>
      <c r="J405" s="51">
        <f>553</f>
        <v>553</v>
      </c>
      <c r="K405" s="58">
        <v>2.1990740740740742E-3</v>
      </c>
      <c r="L405" s="59" t="s">
        <v>1162</v>
      </c>
      <c r="M405" s="51"/>
      <c r="N405" s="51"/>
      <c r="O405" s="51"/>
      <c r="P405" s="51"/>
      <c r="Q405" s="37" t="str">
        <f t="shared" ca="1" si="0"/>
        <v/>
      </c>
      <c r="R405" s="52"/>
      <c r="S405" s="52"/>
      <c r="T405" s="52"/>
      <c r="U405" s="61"/>
      <c r="V405" s="62"/>
      <c r="W405" s="63"/>
      <c r="X405" s="64"/>
      <c r="Y405" s="18"/>
      <c r="Z405" s="18"/>
      <c r="AA405" s="18"/>
      <c r="AB405" s="18"/>
    </row>
    <row r="406" spans="1:28">
      <c r="A406" s="51">
        <v>405</v>
      </c>
      <c r="B406" s="52"/>
      <c r="C406" s="61"/>
      <c r="D406" s="51"/>
      <c r="E406" s="51" t="s">
        <v>1403</v>
      </c>
      <c r="F406" s="55" t="s">
        <v>1404</v>
      </c>
      <c r="G406" s="56"/>
      <c r="H406" s="57"/>
      <c r="I406" s="51"/>
      <c r="J406" s="51">
        <f>353</f>
        <v>353</v>
      </c>
      <c r="K406" s="58">
        <v>1.3541666666666667E-3</v>
      </c>
      <c r="L406" s="59" t="s">
        <v>1162</v>
      </c>
      <c r="M406" s="51"/>
      <c r="N406" s="51"/>
      <c r="O406" s="51"/>
      <c r="P406" s="51"/>
      <c r="Q406" s="37" t="str">
        <f t="shared" ca="1" si="0"/>
        <v/>
      </c>
      <c r="R406" s="52"/>
      <c r="S406" s="52"/>
      <c r="T406" s="52"/>
      <c r="U406" s="61"/>
      <c r="V406" s="62"/>
      <c r="W406" s="63"/>
      <c r="X406" s="64"/>
      <c r="Y406" s="18"/>
      <c r="Z406" s="18"/>
      <c r="AA406" s="18"/>
      <c r="AB406" s="18"/>
    </row>
    <row r="407" spans="1:28">
      <c r="A407" s="51">
        <v>406</v>
      </c>
      <c r="B407" s="52"/>
      <c r="C407" s="61"/>
      <c r="D407" s="51"/>
      <c r="E407" s="51" t="s">
        <v>1405</v>
      </c>
      <c r="F407" s="55" t="s">
        <v>1406</v>
      </c>
      <c r="G407" s="56"/>
      <c r="H407" s="57"/>
      <c r="I407" s="51"/>
      <c r="J407" s="51">
        <f>798</f>
        <v>798</v>
      </c>
      <c r="K407" s="58">
        <v>1.8287037037037037E-3</v>
      </c>
      <c r="L407" s="59" t="s">
        <v>1162</v>
      </c>
      <c r="M407" s="51"/>
      <c r="N407" s="51"/>
      <c r="O407" s="51"/>
      <c r="P407" s="51"/>
      <c r="Q407" s="37" t="str">
        <f t="shared" ca="1" si="0"/>
        <v/>
      </c>
      <c r="R407" s="52"/>
      <c r="S407" s="52"/>
      <c r="T407" s="52"/>
      <c r="U407" s="61"/>
      <c r="V407" s="62"/>
      <c r="W407" s="63"/>
      <c r="X407" s="64"/>
      <c r="Y407" s="18"/>
      <c r="Z407" s="18"/>
      <c r="AA407" s="18"/>
      <c r="AB407" s="18"/>
    </row>
    <row r="408" spans="1:28">
      <c r="A408" s="51">
        <v>407</v>
      </c>
      <c r="B408" s="52"/>
      <c r="C408" s="61"/>
      <c r="D408" s="51"/>
      <c r="E408" s="51" t="s">
        <v>1407</v>
      </c>
      <c r="F408" s="55" t="s">
        <v>1408</v>
      </c>
      <c r="G408" s="56"/>
      <c r="H408" s="57"/>
      <c r="I408" s="51"/>
      <c r="J408" s="51">
        <f>632</f>
        <v>632</v>
      </c>
      <c r="K408" s="58">
        <v>5.9490740740740745E-3</v>
      </c>
      <c r="L408" s="59" t="s">
        <v>1162</v>
      </c>
      <c r="M408" s="51"/>
      <c r="N408" s="51"/>
      <c r="O408" s="51"/>
      <c r="P408" s="51"/>
      <c r="Q408" s="37" t="str">
        <f t="shared" ca="1" si="0"/>
        <v/>
      </c>
      <c r="R408" s="52"/>
      <c r="S408" s="52"/>
      <c r="T408" s="52"/>
      <c r="U408" s="61"/>
      <c r="V408" s="62"/>
      <c r="W408" s="63"/>
      <c r="X408" s="64"/>
      <c r="Y408" s="18"/>
      <c r="Z408" s="18"/>
      <c r="AA408" s="18"/>
      <c r="AB408" s="18"/>
    </row>
    <row r="409" spans="1:28">
      <c r="A409" s="51">
        <v>408</v>
      </c>
      <c r="B409" s="52"/>
      <c r="C409" s="61"/>
      <c r="D409" s="51"/>
      <c r="E409" s="51" t="s">
        <v>1409</v>
      </c>
      <c r="F409" s="55" t="s">
        <v>1410</v>
      </c>
      <c r="G409" s="56"/>
      <c r="H409" s="57"/>
      <c r="I409" s="51"/>
      <c r="J409" s="51">
        <f>363</f>
        <v>363</v>
      </c>
      <c r="K409" s="58">
        <v>1.4583333333333334E-3</v>
      </c>
      <c r="L409" s="59" t="s">
        <v>1162</v>
      </c>
      <c r="M409" s="51"/>
      <c r="N409" s="51"/>
      <c r="O409" s="51"/>
      <c r="P409" s="51"/>
      <c r="Q409" s="37" t="str">
        <f t="shared" ca="1" si="0"/>
        <v/>
      </c>
      <c r="R409" s="52"/>
      <c r="S409" s="52"/>
      <c r="T409" s="52"/>
      <c r="U409" s="61"/>
      <c r="V409" s="62"/>
      <c r="W409" s="63"/>
      <c r="X409" s="64"/>
      <c r="Y409" s="18"/>
      <c r="Z409" s="18"/>
      <c r="AA409" s="18"/>
      <c r="AB409" s="18"/>
    </row>
    <row r="410" spans="1:28">
      <c r="A410" s="51">
        <v>409</v>
      </c>
      <c r="B410" s="52"/>
      <c r="C410" s="61"/>
      <c r="D410" s="51"/>
      <c r="E410" s="51" t="s">
        <v>1411</v>
      </c>
      <c r="F410" s="55" t="s">
        <v>1412</v>
      </c>
      <c r="G410" s="56"/>
      <c r="H410" s="57"/>
      <c r="I410" s="51"/>
      <c r="J410" s="51">
        <f>2.4*1000</f>
        <v>2400</v>
      </c>
      <c r="K410" s="58">
        <v>2.0370370370370373E-3</v>
      </c>
      <c r="L410" s="59" t="s">
        <v>1162</v>
      </c>
      <c r="M410" s="51"/>
      <c r="N410" s="51"/>
      <c r="O410" s="51"/>
      <c r="P410" s="51"/>
      <c r="Q410" s="37" t="str">
        <f t="shared" ca="1" si="0"/>
        <v/>
      </c>
      <c r="R410" s="52"/>
      <c r="S410" s="52"/>
      <c r="T410" s="52"/>
      <c r="U410" s="61"/>
      <c r="V410" s="62"/>
      <c r="W410" s="63"/>
      <c r="X410" s="64"/>
      <c r="Y410" s="18"/>
      <c r="Z410" s="18"/>
      <c r="AA410" s="18"/>
      <c r="AB410" s="18"/>
    </row>
    <row r="411" spans="1:28">
      <c r="A411" s="51">
        <v>410</v>
      </c>
      <c r="B411" s="52"/>
      <c r="C411" s="61"/>
      <c r="D411" s="51"/>
      <c r="E411" s="51" t="s">
        <v>1413</v>
      </c>
      <c r="F411" s="55" t="s">
        <v>1414</v>
      </c>
      <c r="G411" s="56"/>
      <c r="H411" s="57"/>
      <c r="I411" s="51"/>
      <c r="J411" s="51">
        <f>513</f>
        <v>513</v>
      </c>
      <c r="K411" s="58">
        <v>7.6388888888888893E-4</v>
      </c>
      <c r="L411" s="59" t="s">
        <v>1162</v>
      </c>
      <c r="M411" s="51"/>
      <c r="N411" s="51"/>
      <c r="O411" s="51"/>
      <c r="P411" s="51"/>
      <c r="Q411" s="37" t="str">
        <f t="shared" ca="1" si="0"/>
        <v/>
      </c>
      <c r="R411" s="52"/>
      <c r="S411" s="52"/>
      <c r="T411" s="52"/>
      <c r="U411" s="61"/>
      <c r="V411" s="62"/>
      <c r="W411" s="63"/>
      <c r="X411" s="64"/>
      <c r="Y411" s="18"/>
      <c r="Z411" s="18"/>
      <c r="AA411" s="18"/>
      <c r="AB411" s="18"/>
    </row>
    <row r="412" spans="1:28">
      <c r="A412" s="51">
        <v>411</v>
      </c>
      <c r="B412" s="52"/>
      <c r="C412" s="61"/>
      <c r="D412" s="51"/>
      <c r="E412" s="51" t="s">
        <v>1415</v>
      </c>
      <c r="F412" s="55" t="s">
        <v>1416</v>
      </c>
      <c r="G412" s="56"/>
      <c r="H412" s="57"/>
      <c r="I412" s="51"/>
      <c r="J412" s="51">
        <f>765</f>
        <v>765</v>
      </c>
      <c r="K412" s="58">
        <v>2.615740740740741E-3</v>
      </c>
      <c r="L412" s="59" t="s">
        <v>1162</v>
      </c>
      <c r="M412" s="51"/>
      <c r="N412" s="51"/>
      <c r="O412" s="51"/>
      <c r="P412" s="51"/>
      <c r="Q412" s="37" t="str">
        <f t="shared" ca="1" si="0"/>
        <v/>
      </c>
      <c r="R412" s="52"/>
      <c r="S412" s="52"/>
      <c r="T412" s="52"/>
      <c r="U412" s="61"/>
      <c r="V412" s="62"/>
      <c r="W412" s="63"/>
      <c r="X412" s="64"/>
      <c r="Y412" s="18"/>
      <c r="Z412" s="18"/>
      <c r="AA412" s="18"/>
      <c r="AB412" s="18"/>
    </row>
    <row r="413" spans="1:28">
      <c r="A413" s="51">
        <v>412</v>
      </c>
      <c r="B413" s="52"/>
      <c r="C413" s="61"/>
      <c r="D413" s="51"/>
      <c r="E413" s="51" t="s">
        <v>1417</v>
      </c>
      <c r="F413" s="55" t="s">
        <v>1418</v>
      </c>
      <c r="G413" s="56"/>
      <c r="H413" s="57"/>
      <c r="I413" s="51"/>
      <c r="J413" s="51">
        <f>477</f>
        <v>477</v>
      </c>
      <c r="K413" s="58">
        <v>2.9629629629629628E-3</v>
      </c>
      <c r="L413" s="59" t="s">
        <v>1162</v>
      </c>
      <c r="M413" s="51"/>
      <c r="N413" s="51"/>
      <c r="O413" s="51"/>
      <c r="P413" s="51"/>
      <c r="Q413" s="37" t="str">
        <f t="shared" ca="1" si="0"/>
        <v/>
      </c>
      <c r="R413" s="52"/>
      <c r="S413" s="52"/>
      <c r="T413" s="52"/>
      <c r="U413" s="61"/>
      <c r="V413" s="62"/>
      <c r="W413" s="63"/>
      <c r="X413" s="64"/>
      <c r="Y413" s="18"/>
      <c r="Z413" s="18"/>
      <c r="AA413" s="18"/>
      <c r="AB413" s="18"/>
    </row>
    <row r="414" spans="1:28">
      <c r="A414" s="51">
        <v>413</v>
      </c>
      <c r="B414" s="52"/>
      <c r="C414" s="61"/>
      <c r="D414" s="51"/>
      <c r="E414" s="51" t="s">
        <v>1419</v>
      </c>
      <c r="F414" s="55" t="s">
        <v>1420</v>
      </c>
      <c r="G414" s="56"/>
      <c r="H414" s="57"/>
      <c r="I414" s="51"/>
      <c r="J414" s="51">
        <f>742</f>
        <v>742</v>
      </c>
      <c r="K414" s="58">
        <v>2.627314814814815E-3</v>
      </c>
      <c r="L414" s="59" t="s">
        <v>1162</v>
      </c>
      <c r="M414" s="51"/>
      <c r="N414" s="51"/>
      <c r="O414" s="51"/>
      <c r="P414" s="51"/>
      <c r="Q414" s="37" t="str">
        <f t="shared" ca="1" si="0"/>
        <v/>
      </c>
      <c r="R414" s="52"/>
      <c r="S414" s="52"/>
      <c r="T414" s="52"/>
      <c r="U414" s="61"/>
      <c r="V414" s="62"/>
      <c r="W414" s="63"/>
      <c r="X414" s="64"/>
      <c r="Y414" s="18"/>
      <c r="Z414" s="18"/>
      <c r="AA414" s="18"/>
      <c r="AB414" s="18"/>
    </row>
    <row r="415" spans="1:28">
      <c r="A415" s="51">
        <v>414</v>
      </c>
      <c r="B415" s="52"/>
      <c r="C415" s="61"/>
      <c r="D415" s="51"/>
      <c r="E415" s="51" t="s">
        <v>1421</v>
      </c>
      <c r="F415" s="55" t="s">
        <v>1422</v>
      </c>
      <c r="G415" s="56"/>
      <c r="H415" s="57"/>
      <c r="I415" s="51"/>
      <c r="J415" s="51">
        <f>540</f>
        <v>540</v>
      </c>
      <c r="K415" s="58">
        <v>3.9236111111111112E-3</v>
      </c>
      <c r="L415" s="59" t="s">
        <v>1162</v>
      </c>
      <c r="M415" s="51"/>
      <c r="N415" s="51"/>
      <c r="O415" s="51"/>
      <c r="P415" s="51"/>
      <c r="Q415" s="37" t="str">
        <f t="shared" ca="1" si="0"/>
        <v/>
      </c>
      <c r="R415" s="52"/>
      <c r="S415" s="52"/>
      <c r="T415" s="52"/>
      <c r="U415" s="61"/>
      <c r="V415" s="62"/>
      <c r="W415" s="63"/>
      <c r="X415" s="64"/>
      <c r="Y415" s="18"/>
      <c r="Z415" s="18"/>
      <c r="AA415" s="18"/>
      <c r="AB415" s="18"/>
    </row>
    <row r="416" spans="1:28">
      <c r="A416" s="51">
        <v>415</v>
      </c>
      <c r="B416" s="52"/>
      <c r="C416" s="61"/>
      <c r="D416" s="51"/>
      <c r="E416" s="51" t="s">
        <v>1423</v>
      </c>
      <c r="F416" s="55" t="s">
        <v>1424</v>
      </c>
      <c r="G416" s="56"/>
      <c r="H416" s="57"/>
      <c r="I416" s="51"/>
      <c r="J416" s="51">
        <f>657</f>
        <v>657</v>
      </c>
      <c r="K416" s="58">
        <v>1.0995370370370371E-3</v>
      </c>
      <c r="L416" s="59" t="s">
        <v>1162</v>
      </c>
      <c r="M416" s="51"/>
      <c r="N416" s="51"/>
      <c r="O416" s="51"/>
      <c r="P416" s="51"/>
      <c r="Q416" s="37" t="str">
        <f t="shared" ca="1" si="0"/>
        <v/>
      </c>
      <c r="R416" s="52"/>
      <c r="S416" s="52"/>
      <c r="T416" s="52"/>
      <c r="U416" s="61"/>
      <c r="V416" s="62"/>
      <c r="W416" s="63"/>
      <c r="X416" s="64"/>
      <c r="Y416" s="18"/>
      <c r="Z416" s="18"/>
      <c r="AA416" s="18"/>
      <c r="AB416" s="18"/>
    </row>
    <row r="417" spans="1:28">
      <c r="A417" s="51">
        <v>416</v>
      </c>
      <c r="B417" s="52"/>
      <c r="C417" s="61"/>
      <c r="D417" s="51"/>
      <c r="E417" s="51" t="s">
        <v>1425</v>
      </c>
      <c r="F417" s="55" t="s">
        <v>1426</v>
      </c>
      <c r="G417" s="56"/>
      <c r="H417" s="57"/>
      <c r="I417" s="51"/>
      <c r="J417" s="51">
        <f>535</f>
        <v>535</v>
      </c>
      <c r="K417" s="58">
        <v>1.7708333333333332E-3</v>
      </c>
      <c r="L417" s="59" t="s">
        <v>1162</v>
      </c>
      <c r="M417" s="51"/>
      <c r="N417" s="51"/>
      <c r="O417" s="51"/>
      <c r="P417" s="51"/>
      <c r="Q417" s="37" t="str">
        <f t="shared" ca="1" si="0"/>
        <v/>
      </c>
      <c r="R417" s="52"/>
      <c r="S417" s="52"/>
      <c r="T417" s="52"/>
      <c r="U417" s="61"/>
      <c r="V417" s="62"/>
      <c r="W417" s="63"/>
      <c r="X417" s="64"/>
      <c r="Y417" s="18"/>
      <c r="Z417" s="18"/>
      <c r="AA417" s="18"/>
      <c r="AB417" s="18"/>
    </row>
    <row r="418" spans="1:28">
      <c r="A418" s="51">
        <v>417</v>
      </c>
      <c r="B418" s="52"/>
      <c r="C418" s="61"/>
      <c r="D418" s="51"/>
      <c r="E418" s="51" t="s">
        <v>1427</v>
      </c>
      <c r="F418" s="55" t="s">
        <v>1428</v>
      </c>
      <c r="G418" s="56"/>
      <c r="H418" s="57"/>
      <c r="I418" s="51"/>
      <c r="J418" s="51">
        <f>6.4*1000</f>
        <v>6400</v>
      </c>
      <c r="K418" s="58">
        <v>1.8807870370370371E-2</v>
      </c>
      <c r="L418" s="59" t="s">
        <v>1162</v>
      </c>
      <c r="M418" s="51"/>
      <c r="N418" s="51"/>
      <c r="O418" s="51"/>
      <c r="P418" s="51"/>
      <c r="Q418" s="37" t="str">
        <f t="shared" ca="1" si="0"/>
        <v/>
      </c>
      <c r="R418" s="52"/>
      <c r="S418" s="52"/>
      <c r="T418" s="52"/>
      <c r="U418" s="61"/>
      <c r="V418" s="62"/>
      <c r="W418" s="63"/>
      <c r="X418" s="64"/>
      <c r="Y418" s="18"/>
      <c r="Z418" s="18"/>
      <c r="AA418" s="18"/>
      <c r="AB418" s="18"/>
    </row>
    <row r="419" spans="1:28">
      <c r="A419" s="51">
        <v>418</v>
      </c>
      <c r="B419" s="52"/>
      <c r="C419" s="61"/>
      <c r="D419" s="51"/>
      <c r="E419" s="51" t="s">
        <v>1429</v>
      </c>
      <c r="F419" s="55" t="s">
        <v>1430</v>
      </c>
      <c r="G419" s="56"/>
      <c r="H419" s="57"/>
      <c r="I419" s="51"/>
      <c r="J419" s="51">
        <f>257</f>
        <v>257</v>
      </c>
      <c r="K419" s="58">
        <v>2.0486111111111113E-3</v>
      </c>
      <c r="L419" s="59" t="s">
        <v>1162</v>
      </c>
      <c r="M419" s="51"/>
      <c r="N419" s="51"/>
      <c r="O419" s="51"/>
      <c r="P419" s="51"/>
      <c r="Q419" s="37" t="str">
        <f t="shared" ca="1" si="0"/>
        <v/>
      </c>
      <c r="R419" s="52"/>
      <c r="S419" s="52"/>
      <c r="T419" s="52"/>
      <c r="U419" s="61"/>
      <c r="V419" s="62"/>
      <c r="W419" s="63"/>
      <c r="X419" s="64"/>
      <c r="Y419" s="18"/>
      <c r="Z419" s="18"/>
      <c r="AA419" s="18"/>
      <c r="AB419" s="18"/>
    </row>
    <row r="420" spans="1:28">
      <c r="A420" s="51">
        <v>419</v>
      </c>
      <c r="B420" s="52"/>
      <c r="C420" s="61"/>
      <c r="D420" s="51"/>
      <c r="E420" s="51" t="s">
        <v>1431</v>
      </c>
      <c r="F420" s="55" t="s">
        <v>1432</v>
      </c>
      <c r="G420" s="56"/>
      <c r="H420" s="57"/>
      <c r="I420" s="51"/>
      <c r="J420" s="51">
        <f>485</f>
        <v>485</v>
      </c>
      <c r="K420" s="58">
        <v>1.5624999999999999E-3</v>
      </c>
      <c r="L420" s="59" t="s">
        <v>1162</v>
      </c>
      <c r="M420" s="51"/>
      <c r="N420" s="51"/>
      <c r="O420" s="51"/>
      <c r="P420" s="51"/>
      <c r="Q420" s="37" t="str">
        <f t="shared" ca="1" si="0"/>
        <v/>
      </c>
      <c r="R420" s="52"/>
      <c r="S420" s="52"/>
      <c r="T420" s="52"/>
      <c r="U420" s="61"/>
      <c r="V420" s="62"/>
      <c r="W420" s="63"/>
      <c r="X420" s="64"/>
      <c r="Y420" s="18"/>
      <c r="Z420" s="18"/>
      <c r="AA420" s="18"/>
      <c r="AB420" s="18"/>
    </row>
    <row r="421" spans="1:28">
      <c r="A421" s="51">
        <v>420</v>
      </c>
      <c r="B421" s="52"/>
      <c r="C421" s="61"/>
      <c r="D421" s="51"/>
      <c r="E421" s="51" t="s">
        <v>1433</v>
      </c>
      <c r="F421" s="55" t="s">
        <v>1434</v>
      </c>
      <c r="G421" s="56"/>
      <c r="H421" s="57"/>
      <c r="I421" s="51"/>
      <c r="J421" s="51">
        <f>994</f>
        <v>994</v>
      </c>
      <c r="K421" s="58">
        <v>3.5879629629629635E-4</v>
      </c>
      <c r="L421" s="59" t="s">
        <v>1162</v>
      </c>
      <c r="M421" s="51"/>
      <c r="N421" s="51"/>
      <c r="O421" s="51"/>
      <c r="P421" s="51"/>
      <c r="Q421" s="37" t="str">
        <f t="shared" ca="1" si="0"/>
        <v/>
      </c>
      <c r="R421" s="52"/>
      <c r="S421" s="52"/>
      <c r="T421" s="52"/>
      <c r="U421" s="61"/>
      <c r="V421" s="62"/>
      <c r="W421" s="63"/>
      <c r="X421" s="64"/>
      <c r="Y421" s="18"/>
      <c r="Z421" s="18"/>
      <c r="AA421" s="18"/>
      <c r="AB421" s="18"/>
    </row>
    <row r="422" spans="1:28">
      <c r="A422" s="51">
        <v>421</v>
      </c>
      <c r="B422" s="52"/>
      <c r="C422" s="61"/>
      <c r="D422" s="51"/>
      <c r="E422" s="51" t="s">
        <v>1435</v>
      </c>
      <c r="F422" s="55" t="s">
        <v>1436</v>
      </c>
      <c r="G422" s="56"/>
      <c r="H422" s="57"/>
      <c r="I422" s="51"/>
      <c r="J422" s="51">
        <f>3.3*1000</f>
        <v>3300</v>
      </c>
      <c r="K422" s="58">
        <v>3.8194444444444443E-3</v>
      </c>
      <c r="L422" s="59" t="s">
        <v>1162</v>
      </c>
      <c r="M422" s="51"/>
      <c r="N422" s="51"/>
      <c r="O422" s="51"/>
      <c r="P422" s="51"/>
      <c r="Q422" s="37" t="str">
        <f t="shared" ca="1" si="0"/>
        <v/>
      </c>
      <c r="R422" s="52"/>
      <c r="S422" s="52"/>
      <c r="T422" s="52"/>
      <c r="U422" s="61"/>
      <c r="V422" s="62"/>
      <c r="W422" s="63"/>
      <c r="X422" s="64"/>
      <c r="Y422" s="18"/>
      <c r="Z422" s="18"/>
      <c r="AA422" s="18"/>
      <c r="AB422" s="18"/>
    </row>
    <row r="423" spans="1:28">
      <c r="A423" s="51">
        <v>422</v>
      </c>
      <c r="B423" s="52"/>
      <c r="C423" s="61"/>
      <c r="D423" s="51"/>
      <c r="E423" s="51" t="s">
        <v>1437</v>
      </c>
      <c r="F423" s="55" t="s">
        <v>1438</v>
      </c>
      <c r="G423" s="56"/>
      <c r="H423" s="57"/>
      <c r="I423" s="51"/>
      <c r="J423" s="51">
        <f>376</f>
        <v>376</v>
      </c>
      <c r="K423" s="58">
        <v>1.6203703703703703E-3</v>
      </c>
      <c r="L423" s="59" t="s">
        <v>1162</v>
      </c>
      <c r="M423" s="51"/>
      <c r="N423" s="51"/>
      <c r="O423" s="51"/>
      <c r="P423" s="51"/>
      <c r="Q423" s="37" t="str">
        <f t="shared" ca="1" si="0"/>
        <v/>
      </c>
      <c r="R423" s="52"/>
      <c r="S423" s="52"/>
      <c r="T423" s="52"/>
      <c r="U423" s="61"/>
      <c r="V423" s="62"/>
      <c r="W423" s="63"/>
      <c r="X423" s="64"/>
      <c r="Y423" s="18"/>
      <c r="Z423" s="18"/>
      <c r="AA423" s="18"/>
      <c r="AB423" s="18"/>
    </row>
    <row r="424" spans="1:28">
      <c r="A424" s="51">
        <v>423</v>
      </c>
      <c r="B424" s="52"/>
      <c r="C424" s="61"/>
      <c r="D424" s="51"/>
      <c r="E424" s="51" t="s">
        <v>1439</v>
      </c>
      <c r="F424" s="55" t="s">
        <v>1440</v>
      </c>
      <c r="G424" s="56"/>
      <c r="H424" s="57"/>
      <c r="I424" s="51"/>
      <c r="J424" s="51">
        <f>263</f>
        <v>263</v>
      </c>
      <c r="K424" s="58">
        <v>4.5138888888888892E-4</v>
      </c>
      <c r="L424" s="59" t="s">
        <v>1162</v>
      </c>
      <c r="M424" s="51"/>
      <c r="N424" s="51"/>
      <c r="O424" s="51"/>
      <c r="P424" s="51"/>
      <c r="Q424" s="37" t="str">
        <f t="shared" ca="1" si="0"/>
        <v/>
      </c>
      <c r="R424" s="52"/>
      <c r="S424" s="52"/>
      <c r="T424" s="52"/>
      <c r="U424" s="61"/>
      <c r="V424" s="62"/>
      <c r="W424" s="63"/>
      <c r="X424" s="64"/>
      <c r="Y424" s="18"/>
      <c r="Z424" s="18"/>
      <c r="AA424" s="18"/>
      <c r="AB424" s="18"/>
    </row>
    <row r="425" spans="1:28">
      <c r="A425" s="51">
        <v>424</v>
      </c>
      <c r="B425" s="52"/>
      <c r="C425" s="61"/>
      <c r="D425" s="51"/>
      <c r="E425" s="51" t="s">
        <v>1441</v>
      </c>
      <c r="F425" s="55" t="s">
        <v>1442</v>
      </c>
      <c r="G425" s="56"/>
      <c r="H425" s="57"/>
      <c r="I425" s="51"/>
      <c r="J425" s="51">
        <f>309</f>
        <v>309</v>
      </c>
      <c r="K425" s="58">
        <v>1.8171296296296297E-3</v>
      </c>
      <c r="L425" s="59" t="s">
        <v>1162</v>
      </c>
      <c r="M425" s="51"/>
      <c r="N425" s="51"/>
      <c r="O425" s="51"/>
      <c r="P425" s="51"/>
      <c r="Q425" s="37" t="str">
        <f t="shared" ca="1" si="0"/>
        <v/>
      </c>
      <c r="R425" s="52"/>
      <c r="S425" s="52"/>
      <c r="T425" s="52"/>
      <c r="U425" s="61"/>
      <c r="V425" s="62"/>
      <c r="W425" s="63"/>
      <c r="X425" s="64"/>
      <c r="Y425" s="18"/>
      <c r="Z425" s="18"/>
      <c r="AA425" s="18"/>
      <c r="AB425" s="18"/>
    </row>
    <row r="426" spans="1:28">
      <c r="A426" s="51">
        <v>425</v>
      </c>
      <c r="B426" s="52"/>
      <c r="C426" s="61"/>
      <c r="D426" s="51"/>
      <c r="E426" s="51" t="s">
        <v>1443</v>
      </c>
      <c r="F426" s="55" t="s">
        <v>1444</v>
      </c>
      <c r="G426" s="56"/>
      <c r="H426" s="57"/>
      <c r="I426" s="51"/>
      <c r="J426" s="51">
        <f>899</f>
        <v>899</v>
      </c>
      <c r="K426" s="58">
        <v>8.9120370370370362E-4</v>
      </c>
      <c r="L426" s="59" t="s">
        <v>1162</v>
      </c>
      <c r="M426" s="51"/>
      <c r="N426" s="51"/>
      <c r="O426" s="51"/>
      <c r="P426" s="51"/>
      <c r="Q426" s="37" t="str">
        <f t="shared" ca="1" si="0"/>
        <v/>
      </c>
      <c r="R426" s="52"/>
      <c r="S426" s="52"/>
      <c r="T426" s="52"/>
      <c r="U426" s="61"/>
      <c r="V426" s="62"/>
      <c r="W426" s="63"/>
      <c r="X426" s="64"/>
      <c r="Y426" s="18"/>
      <c r="Z426" s="18"/>
      <c r="AA426" s="18"/>
      <c r="AB426" s="18"/>
    </row>
    <row r="427" spans="1:28">
      <c r="A427" s="51">
        <v>426</v>
      </c>
      <c r="B427" s="52"/>
      <c r="C427" s="61"/>
      <c r="D427" s="51"/>
      <c r="E427" s="51" t="s">
        <v>1445</v>
      </c>
      <c r="F427" s="55" t="s">
        <v>1446</v>
      </c>
      <c r="G427" s="56"/>
      <c r="H427" s="57"/>
      <c r="I427" s="51"/>
      <c r="J427" s="51">
        <f>1.4*1000</f>
        <v>1400</v>
      </c>
      <c r="K427" s="58">
        <v>1.736111111111111E-3</v>
      </c>
      <c r="L427" s="59" t="s">
        <v>1162</v>
      </c>
      <c r="M427" s="51"/>
      <c r="N427" s="51"/>
      <c r="O427" s="51"/>
      <c r="P427" s="51"/>
      <c r="Q427" s="37" t="str">
        <f t="shared" ca="1" si="0"/>
        <v/>
      </c>
      <c r="R427" s="52"/>
      <c r="S427" s="52"/>
      <c r="T427" s="52"/>
      <c r="U427" s="61"/>
      <c r="V427" s="62"/>
      <c r="W427" s="63"/>
      <c r="X427" s="64"/>
      <c r="Y427" s="18"/>
      <c r="Z427" s="18"/>
      <c r="AA427" s="18"/>
      <c r="AB427" s="18"/>
    </row>
    <row r="428" spans="1:28">
      <c r="A428" s="51">
        <v>427</v>
      </c>
      <c r="B428" s="52"/>
      <c r="C428" s="61"/>
      <c r="D428" s="51"/>
      <c r="E428" s="51" t="s">
        <v>1447</v>
      </c>
      <c r="F428" s="55" t="s">
        <v>1448</v>
      </c>
      <c r="G428" s="56"/>
      <c r="H428" s="57"/>
      <c r="I428" s="51"/>
      <c r="J428" s="51">
        <f>328</f>
        <v>328</v>
      </c>
      <c r="K428" s="58">
        <v>2.3958333333333336E-3</v>
      </c>
      <c r="L428" s="59" t="s">
        <v>1162</v>
      </c>
      <c r="M428" s="51"/>
      <c r="N428" s="51"/>
      <c r="O428" s="51"/>
      <c r="P428" s="51"/>
      <c r="Q428" s="37" t="str">
        <f t="shared" ca="1" si="0"/>
        <v/>
      </c>
      <c r="R428" s="52"/>
      <c r="S428" s="52"/>
      <c r="T428" s="52"/>
      <c r="U428" s="61"/>
      <c r="V428" s="62"/>
      <c r="W428" s="63"/>
      <c r="X428" s="64"/>
      <c r="Y428" s="18"/>
      <c r="Z428" s="18"/>
      <c r="AA428" s="18"/>
      <c r="AB428" s="18"/>
    </row>
    <row r="429" spans="1:28">
      <c r="A429" s="51">
        <v>428</v>
      </c>
      <c r="B429" s="52"/>
      <c r="C429" s="61"/>
      <c r="D429" s="51"/>
      <c r="E429" s="51" t="s">
        <v>1449</v>
      </c>
      <c r="F429" s="55" t="s">
        <v>1450</v>
      </c>
      <c r="G429" s="56"/>
      <c r="H429" s="57"/>
      <c r="I429" s="51"/>
      <c r="J429" s="51">
        <f>776</f>
        <v>776</v>
      </c>
      <c r="K429" s="58">
        <v>1.3078703703703705E-3</v>
      </c>
      <c r="L429" s="59" t="s">
        <v>1162</v>
      </c>
      <c r="M429" s="51"/>
      <c r="N429" s="51"/>
      <c r="O429" s="51"/>
      <c r="P429" s="51"/>
      <c r="Q429" s="37" t="str">
        <f t="shared" ca="1" si="0"/>
        <v/>
      </c>
      <c r="R429" s="52"/>
      <c r="S429" s="52"/>
      <c r="T429" s="52"/>
      <c r="U429" s="61"/>
      <c r="V429" s="62"/>
      <c r="W429" s="63"/>
      <c r="X429" s="64"/>
      <c r="Y429" s="18"/>
      <c r="Z429" s="18"/>
      <c r="AA429" s="18"/>
      <c r="AB429" s="18"/>
    </row>
    <row r="430" spans="1:28">
      <c r="A430" s="51">
        <v>429</v>
      </c>
      <c r="B430" s="52"/>
      <c r="C430" s="61"/>
      <c r="D430" s="51"/>
      <c r="E430" s="51" t="s">
        <v>1451</v>
      </c>
      <c r="F430" s="55" t="s">
        <v>1452</v>
      </c>
      <c r="G430" s="56"/>
      <c r="H430" s="57"/>
      <c r="I430" s="51"/>
      <c r="J430" s="51">
        <f>241</f>
        <v>241</v>
      </c>
      <c r="K430" s="58">
        <v>1.2962962962962963E-3</v>
      </c>
      <c r="L430" s="59" t="s">
        <v>1162</v>
      </c>
      <c r="M430" s="51"/>
      <c r="N430" s="51"/>
      <c r="O430" s="51"/>
      <c r="P430" s="51"/>
      <c r="Q430" s="37" t="str">
        <f t="shared" ca="1" si="0"/>
        <v/>
      </c>
      <c r="R430" s="52"/>
      <c r="S430" s="52"/>
      <c r="T430" s="52"/>
      <c r="U430" s="61"/>
      <c r="V430" s="62"/>
      <c r="W430" s="63"/>
      <c r="X430" s="64"/>
      <c r="Y430" s="18"/>
      <c r="Z430" s="18"/>
      <c r="AA430" s="18"/>
      <c r="AB430" s="18"/>
    </row>
    <row r="431" spans="1:28">
      <c r="A431" s="51">
        <v>430</v>
      </c>
      <c r="B431" s="52"/>
      <c r="C431" s="61"/>
      <c r="D431" s="51"/>
      <c r="E431" s="51" t="s">
        <v>1453</v>
      </c>
      <c r="F431" s="55" t="s">
        <v>1454</v>
      </c>
      <c r="G431" s="56"/>
      <c r="H431" s="57"/>
      <c r="I431" s="51"/>
      <c r="J431" s="51">
        <f>440</f>
        <v>440</v>
      </c>
      <c r="K431" s="58">
        <v>4.386574074074074E-3</v>
      </c>
      <c r="L431" s="59" t="s">
        <v>1162</v>
      </c>
      <c r="M431" s="51"/>
      <c r="N431" s="51"/>
      <c r="O431" s="51"/>
      <c r="P431" s="51"/>
      <c r="Q431" s="37" t="str">
        <f t="shared" ca="1" si="0"/>
        <v/>
      </c>
      <c r="R431" s="52"/>
      <c r="S431" s="52"/>
      <c r="T431" s="52"/>
      <c r="U431" s="61"/>
      <c r="V431" s="62"/>
      <c r="W431" s="63"/>
      <c r="X431" s="64"/>
      <c r="Y431" s="18"/>
      <c r="Z431" s="18"/>
      <c r="AA431" s="18"/>
      <c r="AB431" s="18"/>
    </row>
    <row r="432" spans="1:28">
      <c r="A432" s="51">
        <v>431</v>
      </c>
      <c r="B432" s="52"/>
      <c r="C432" s="61"/>
      <c r="D432" s="51"/>
      <c r="E432" s="51" t="s">
        <v>1455</v>
      </c>
      <c r="F432" s="55" t="s">
        <v>1456</v>
      </c>
      <c r="G432" s="56"/>
      <c r="H432" s="57"/>
      <c r="I432" s="51"/>
      <c r="J432" s="51">
        <f>801</f>
        <v>801</v>
      </c>
      <c r="K432" s="58">
        <v>3.414351851851852E-3</v>
      </c>
      <c r="L432" s="59" t="s">
        <v>1162</v>
      </c>
      <c r="M432" s="51"/>
      <c r="N432" s="51"/>
      <c r="O432" s="51"/>
      <c r="P432" s="51"/>
      <c r="Q432" s="37" t="str">
        <f t="shared" ca="1" si="0"/>
        <v/>
      </c>
      <c r="R432" s="52"/>
      <c r="S432" s="52"/>
      <c r="T432" s="52"/>
      <c r="U432" s="61"/>
      <c r="V432" s="62"/>
      <c r="W432" s="63"/>
      <c r="X432" s="64"/>
      <c r="Y432" s="18"/>
      <c r="Z432" s="18"/>
      <c r="AA432" s="18"/>
      <c r="AB432" s="18"/>
    </row>
    <row r="433" spans="1:28">
      <c r="A433" s="51">
        <v>432</v>
      </c>
      <c r="B433" s="52"/>
      <c r="C433" s="61"/>
      <c r="D433" s="51"/>
      <c r="E433" s="51" t="s">
        <v>1457</v>
      </c>
      <c r="F433" s="55" t="s">
        <v>1458</v>
      </c>
      <c r="G433" s="56"/>
      <c r="H433" s="57"/>
      <c r="I433" s="51"/>
      <c r="J433" s="51">
        <f>271</f>
        <v>271</v>
      </c>
      <c r="K433" s="58">
        <v>2.4537037037037036E-3</v>
      </c>
      <c r="L433" s="59" t="s">
        <v>1162</v>
      </c>
      <c r="M433" s="51"/>
      <c r="N433" s="51"/>
      <c r="O433" s="51"/>
      <c r="P433" s="51"/>
      <c r="Q433" s="37" t="str">
        <f t="shared" ca="1" si="0"/>
        <v/>
      </c>
      <c r="R433" s="52"/>
      <c r="S433" s="52"/>
      <c r="T433" s="52"/>
      <c r="U433" s="61"/>
      <c r="V433" s="62"/>
      <c r="W433" s="63"/>
      <c r="X433" s="64"/>
      <c r="Y433" s="18"/>
      <c r="Z433" s="18"/>
      <c r="AA433" s="18"/>
      <c r="AB433" s="18"/>
    </row>
    <row r="434" spans="1:28">
      <c r="A434" s="51">
        <v>433</v>
      </c>
      <c r="B434" s="52"/>
      <c r="C434" s="61"/>
      <c r="D434" s="51"/>
      <c r="E434" s="51" t="s">
        <v>1459</v>
      </c>
      <c r="F434" s="55" t="s">
        <v>1460</v>
      </c>
      <c r="G434" s="56"/>
      <c r="H434" s="57"/>
      <c r="I434" s="51"/>
      <c r="J434" s="51">
        <f>296</f>
        <v>296</v>
      </c>
      <c r="K434" s="58">
        <v>2.1643518518518518E-3</v>
      </c>
      <c r="L434" s="59" t="s">
        <v>1162</v>
      </c>
      <c r="M434" s="51"/>
      <c r="N434" s="51"/>
      <c r="O434" s="51"/>
      <c r="P434" s="51"/>
      <c r="Q434" s="37" t="str">
        <f t="shared" ca="1" si="0"/>
        <v/>
      </c>
      <c r="R434" s="52"/>
      <c r="S434" s="52"/>
      <c r="T434" s="52"/>
      <c r="U434" s="61"/>
      <c r="V434" s="62"/>
      <c r="W434" s="63"/>
      <c r="X434" s="64"/>
      <c r="Y434" s="18"/>
      <c r="Z434" s="18"/>
      <c r="AA434" s="18"/>
      <c r="AB434" s="18"/>
    </row>
    <row r="435" spans="1:28">
      <c r="A435" s="51">
        <v>434</v>
      </c>
      <c r="B435" s="52"/>
      <c r="C435" s="61"/>
      <c r="D435" s="51"/>
      <c r="E435" s="51" t="s">
        <v>1461</v>
      </c>
      <c r="F435" s="55" t="s">
        <v>1462</v>
      </c>
      <c r="G435" s="56"/>
      <c r="H435" s="57"/>
      <c r="I435" s="51"/>
      <c r="J435" s="51">
        <f>696</f>
        <v>696</v>
      </c>
      <c r="K435" s="58">
        <v>2.8472222222222219E-3</v>
      </c>
      <c r="L435" s="59" t="s">
        <v>1162</v>
      </c>
      <c r="M435" s="51"/>
      <c r="N435" s="51"/>
      <c r="O435" s="51"/>
      <c r="P435" s="51"/>
      <c r="Q435" s="37" t="str">
        <f t="shared" ca="1" si="0"/>
        <v/>
      </c>
      <c r="R435" s="52"/>
      <c r="S435" s="52"/>
      <c r="T435" s="52"/>
      <c r="U435" s="61"/>
      <c r="V435" s="62"/>
      <c r="W435" s="63"/>
      <c r="X435" s="64"/>
      <c r="Y435" s="18"/>
      <c r="Z435" s="18"/>
      <c r="AA435" s="18"/>
      <c r="AB435" s="18"/>
    </row>
    <row r="436" spans="1:28">
      <c r="A436" s="51">
        <v>435</v>
      </c>
      <c r="B436" s="69" t="s">
        <v>127</v>
      </c>
      <c r="C436" s="61"/>
      <c r="D436" s="51"/>
      <c r="E436" s="51" t="s">
        <v>1463</v>
      </c>
      <c r="F436" s="55" t="s">
        <v>1464</v>
      </c>
      <c r="G436" s="56"/>
      <c r="H436" s="57"/>
      <c r="I436" s="51"/>
      <c r="J436" s="51">
        <f>2.4*1000</f>
        <v>2400</v>
      </c>
      <c r="K436" s="58">
        <v>1.3310185185185187E-2</v>
      </c>
      <c r="L436" s="59" t="s">
        <v>1162</v>
      </c>
      <c r="M436" s="51"/>
      <c r="N436" s="51"/>
      <c r="O436" s="51"/>
      <c r="P436" s="51"/>
      <c r="Q436" s="37" t="str">
        <f t="shared" ca="1" si="0"/>
        <v/>
      </c>
      <c r="R436" s="52"/>
      <c r="S436" s="52"/>
      <c r="T436" s="52"/>
      <c r="U436" s="61"/>
      <c r="V436" s="62"/>
      <c r="W436" s="63"/>
      <c r="X436" s="64"/>
      <c r="Y436" s="18"/>
      <c r="Z436" s="18"/>
      <c r="AA436" s="18"/>
      <c r="AB436" s="18"/>
    </row>
    <row r="437" spans="1:28">
      <c r="A437" s="51">
        <v>436</v>
      </c>
      <c r="B437" s="52"/>
      <c r="C437" s="61"/>
      <c r="D437" s="51"/>
      <c r="E437" s="51" t="s">
        <v>1465</v>
      </c>
      <c r="F437" s="55" t="s">
        <v>1466</v>
      </c>
      <c r="G437" s="56"/>
      <c r="H437" s="57"/>
      <c r="I437" s="51"/>
      <c r="J437" s="51">
        <f>928</f>
        <v>928</v>
      </c>
      <c r="K437" s="58">
        <v>1.5972222222222221E-3</v>
      </c>
      <c r="L437" s="59" t="s">
        <v>1162</v>
      </c>
      <c r="M437" s="51"/>
      <c r="N437" s="51"/>
      <c r="O437" s="51"/>
      <c r="P437" s="51"/>
      <c r="Q437" s="37" t="str">
        <f t="shared" ca="1" si="0"/>
        <v/>
      </c>
      <c r="R437" s="52"/>
      <c r="S437" s="52"/>
      <c r="T437" s="52"/>
      <c r="U437" s="61"/>
      <c r="V437" s="62"/>
      <c r="W437" s="63"/>
      <c r="X437" s="64"/>
      <c r="Y437" s="18"/>
      <c r="Z437" s="18"/>
      <c r="AA437" s="18"/>
      <c r="AB437" s="18"/>
    </row>
    <row r="438" spans="1:28">
      <c r="A438" s="51">
        <v>437</v>
      </c>
      <c r="B438" s="52"/>
      <c r="C438" s="61"/>
      <c r="D438" s="51"/>
      <c r="E438" s="51" t="s">
        <v>1467</v>
      </c>
      <c r="F438" s="55" t="s">
        <v>1468</v>
      </c>
      <c r="G438" s="56"/>
      <c r="H438" s="57"/>
      <c r="I438" s="51"/>
      <c r="J438" s="51">
        <f>261</f>
        <v>261</v>
      </c>
      <c r="K438" s="58">
        <v>4.5833333333333334E-3</v>
      </c>
      <c r="L438" s="59" t="s">
        <v>1162</v>
      </c>
      <c r="M438" s="51"/>
      <c r="N438" s="51"/>
      <c r="O438" s="51"/>
      <c r="P438" s="51"/>
      <c r="Q438" s="37" t="str">
        <f t="shared" ca="1" si="0"/>
        <v/>
      </c>
      <c r="R438" s="52"/>
      <c r="S438" s="52"/>
      <c r="T438" s="52"/>
      <c r="U438" s="61"/>
      <c r="V438" s="62"/>
      <c r="W438" s="63"/>
      <c r="X438" s="64"/>
      <c r="Y438" s="18"/>
      <c r="Z438" s="18"/>
      <c r="AA438" s="18"/>
      <c r="AB438" s="18"/>
    </row>
    <row r="439" spans="1:28">
      <c r="A439" s="51">
        <v>438</v>
      </c>
      <c r="B439" s="52"/>
      <c r="C439" s="61"/>
      <c r="D439" s="51"/>
      <c r="E439" s="51" t="s">
        <v>1469</v>
      </c>
      <c r="F439" s="55" t="s">
        <v>1470</v>
      </c>
      <c r="G439" s="56"/>
      <c r="H439" s="57"/>
      <c r="I439" s="51"/>
      <c r="J439" s="51">
        <f>309</f>
        <v>309</v>
      </c>
      <c r="K439" s="58">
        <v>2.0833333333333333E-3</v>
      </c>
      <c r="L439" s="59" t="s">
        <v>1162</v>
      </c>
      <c r="M439" s="51"/>
      <c r="N439" s="51"/>
      <c r="O439" s="51"/>
      <c r="P439" s="51"/>
      <c r="Q439" s="37" t="str">
        <f t="shared" ca="1" si="0"/>
        <v/>
      </c>
      <c r="R439" s="52"/>
      <c r="S439" s="52"/>
      <c r="T439" s="52"/>
      <c r="U439" s="61"/>
      <c r="V439" s="62"/>
      <c r="W439" s="63"/>
      <c r="X439" s="64"/>
      <c r="Y439" s="18"/>
      <c r="Z439" s="18"/>
      <c r="AA439" s="18"/>
      <c r="AB439" s="18"/>
    </row>
    <row r="440" spans="1:28">
      <c r="A440" s="51">
        <v>439</v>
      </c>
      <c r="B440" s="52"/>
      <c r="C440" s="61"/>
      <c r="D440" s="51"/>
      <c r="E440" s="51" t="s">
        <v>1471</v>
      </c>
      <c r="F440" s="55" t="s">
        <v>1472</v>
      </c>
      <c r="G440" s="56"/>
      <c r="H440" s="57"/>
      <c r="I440" s="51"/>
      <c r="J440" s="51">
        <f>184</f>
        <v>184</v>
      </c>
      <c r="K440" s="58">
        <v>1.9675925925925928E-3</v>
      </c>
      <c r="L440" s="59" t="s">
        <v>1162</v>
      </c>
      <c r="M440" s="51"/>
      <c r="N440" s="51"/>
      <c r="O440" s="51"/>
      <c r="P440" s="51"/>
      <c r="Q440" s="37" t="str">
        <f t="shared" ca="1" si="0"/>
        <v/>
      </c>
      <c r="R440" s="52"/>
      <c r="S440" s="52"/>
      <c r="T440" s="52"/>
      <c r="U440" s="61"/>
      <c r="V440" s="62"/>
      <c r="W440" s="63"/>
      <c r="X440" s="64"/>
      <c r="Y440" s="18"/>
      <c r="Z440" s="18"/>
      <c r="AA440" s="18"/>
      <c r="AB440" s="18"/>
    </row>
    <row r="441" spans="1:28">
      <c r="A441" s="51">
        <v>440</v>
      </c>
      <c r="B441" s="52"/>
      <c r="C441" s="61"/>
      <c r="D441" s="51"/>
      <c r="E441" s="51" t="s">
        <v>1473</v>
      </c>
      <c r="F441" s="55" t="s">
        <v>1474</v>
      </c>
      <c r="G441" s="56"/>
      <c r="H441" s="57"/>
      <c r="I441" s="51"/>
      <c r="J441" s="51">
        <f>380</f>
        <v>380</v>
      </c>
      <c r="K441" s="58">
        <v>3.6342592592592594E-3</v>
      </c>
      <c r="L441" s="59" t="s">
        <v>1162</v>
      </c>
      <c r="M441" s="51"/>
      <c r="N441" s="51"/>
      <c r="O441" s="51"/>
      <c r="P441" s="51"/>
      <c r="Q441" s="37" t="str">
        <f t="shared" ca="1" si="0"/>
        <v/>
      </c>
      <c r="R441" s="52"/>
      <c r="S441" s="52"/>
      <c r="T441" s="52"/>
      <c r="U441" s="61"/>
      <c r="V441" s="62"/>
      <c r="W441" s="63"/>
      <c r="X441" s="64"/>
      <c r="Y441" s="18"/>
      <c r="Z441" s="18"/>
      <c r="AA441" s="18"/>
      <c r="AB441" s="18"/>
    </row>
    <row r="442" spans="1:28">
      <c r="A442" s="51">
        <v>441</v>
      </c>
      <c r="B442" s="52"/>
      <c r="C442" s="61"/>
      <c r="D442" s="51"/>
      <c r="E442" s="51" t="s">
        <v>1475</v>
      </c>
      <c r="F442" s="55" t="s">
        <v>1476</v>
      </c>
      <c r="G442" s="56"/>
      <c r="H442" s="57"/>
      <c r="I442" s="51"/>
      <c r="J442" s="51">
        <f>398</f>
        <v>398</v>
      </c>
      <c r="K442" s="58">
        <v>1.2152777777777778E-3</v>
      </c>
      <c r="L442" s="59" t="s">
        <v>1162</v>
      </c>
      <c r="M442" s="51"/>
      <c r="N442" s="51"/>
      <c r="O442" s="51"/>
      <c r="P442" s="51"/>
      <c r="Q442" s="37" t="str">
        <f t="shared" ca="1" si="0"/>
        <v/>
      </c>
      <c r="R442" s="52"/>
      <c r="S442" s="52"/>
      <c r="T442" s="52"/>
      <c r="U442" s="61"/>
      <c r="V442" s="62"/>
      <c r="W442" s="63"/>
      <c r="X442" s="64"/>
      <c r="Y442" s="18"/>
      <c r="Z442" s="18"/>
      <c r="AA442" s="18"/>
      <c r="AB442" s="18"/>
    </row>
    <row r="443" spans="1:28">
      <c r="A443" s="51">
        <v>442</v>
      </c>
      <c r="B443" s="52"/>
      <c r="C443" s="61"/>
      <c r="D443" s="51"/>
      <c r="E443" s="51" t="s">
        <v>1477</v>
      </c>
      <c r="F443" s="55" t="s">
        <v>1478</v>
      </c>
      <c r="G443" s="56"/>
      <c r="H443" s="57"/>
      <c r="I443" s="51"/>
      <c r="J443" s="51">
        <f>667</f>
        <v>667</v>
      </c>
      <c r="K443" s="58">
        <v>4.3518518518518515E-3</v>
      </c>
      <c r="L443" s="59" t="s">
        <v>1162</v>
      </c>
      <c r="M443" s="51"/>
      <c r="N443" s="51"/>
      <c r="O443" s="51"/>
      <c r="P443" s="51"/>
      <c r="Q443" s="37" t="str">
        <f t="shared" ca="1" si="0"/>
        <v/>
      </c>
      <c r="R443" s="52"/>
      <c r="S443" s="52"/>
      <c r="T443" s="52"/>
      <c r="U443" s="61"/>
      <c r="V443" s="62"/>
      <c r="W443" s="63"/>
      <c r="X443" s="64"/>
      <c r="Y443" s="18"/>
      <c r="Z443" s="18"/>
      <c r="AA443" s="18"/>
      <c r="AB443" s="18"/>
    </row>
    <row r="444" spans="1:28">
      <c r="A444" s="51">
        <v>443</v>
      </c>
      <c r="B444" s="52"/>
      <c r="C444" s="61"/>
      <c r="D444" s="51"/>
      <c r="E444" s="51" t="s">
        <v>1479</v>
      </c>
      <c r="F444" s="55" t="s">
        <v>1480</v>
      </c>
      <c r="G444" s="56"/>
      <c r="H444" s="57"/>
      <c r="I444" s="51"/>
      <c r="J444" s="51">
        <f>1.6*1000</f>
        <v>1600</v>
      </c>
      <c r="K444" s="58">
        <v>5.2777777777777771E-3</v>
      </c>
      <c r="L444" s="59" t="s">
        <v>1162</v>
      </c>
      <c r="M444" s="51"/>
      <c r="N444" s="51"/>
      <c r="O444" s="51"/>
      <c r="P444" s="51"/>
      <c r="Q444" s="37" t="str">
        <f t="shared" ca="1" si="0"/>
        <v/>
      </c>
      <c r="R444" s="52"/>
      <c r="S444" s="52"/>
      <c r="T444" s="52"/>
      <c r="U444" s="61"/>
      <c r="V444" s="62"/>
      <c r="W444" s="63"/>
      <c r="X444" s="64"/>
      <c r="Y444" s="18"/>
      <c r="Z444" s="18"/>
      <c r="AA444" s="18"/>
      <c r="AB444" s="18"/>
    </row>
    <row r="445" spans="1:28">
      <c r="A445" s="51">
        <v>444</v>
      </c>
      <c r="B445" s="52"/>
      <c r="C445" s="61"/>
      <c r="D445" s="51"/>
      <c r="E445" s="51" t="s">
        <v>1481</v>
      </c>
      <c r="F445" s="55" t="s">
        <v>1482</v>
      </c>
      <c r="G445" s="56"/>
      <c r="H445" s="57"/>
      <c r="I445" s="51"/>
      <c r="J445" s="51">
        <f>797</f>
        <v>797</v>
      </c>
      <c r="K445" s="58">
        <v>1.4699074074074074E-3</v>
      </c>
      <c r="L445" s="59" t="s">
        <v>1162</v>
      </c>
      <c r="M445" s="51"/>
      <c r="N445" s="51"/>
      <c r="O445" s="51"/>
      <c r="P445" s="51"/>
      <c r="Q445" s="37" t="str">
        <f t="shared" ca="1" si="0"/>
        <v/>
      </c>
      <c r="R445" s="52"/>
      <c r="S445" s="52"/>
      <c r="T445" s="52"/>
      <c r="U445" s="61"/>
      <c r="V445" s="62"/>
      <c r="W445" s="63"/>
      <c r="X445" s="64"/>
      <c r="Y445" s="18"/>
      <c r="Z445" s="18"/>
      <c r="AA445" s="18"/>
      <c r="AB445" s="18"/>
    </row>
    <row r="446" spans="1:28">
      <c r="A446" s="51">
        <v>445</v>
      </c>
      <c r="B446" s="52"/>
      <c r="C446" s="61"/>
      <c r="D446" s="51"/>
      <c r="E446" s="51" t="s">
        <v>1483</v>
      </c>
      <c r="F446" s="55" t="s">
        <v>1484</v>
      </c>
      <c r="G446" s="56"/>
      <c r="H446" s="57"/>
      <c r="I446" s="51"/>
      <c r="J446" s="51">
        <f>327</f>
        <v>327</v>
      </c>
      <c r="K446" s="58">
        <v>3.2060185185185191E-3</v>
      </c>
      <c r="L446" s="59" t="s">
        <v>1162</v>
      </c>
      <c r="M446" s="51"/>
      <c r="N446" s="51"/>
      <c r="O446" s="51"/>
      <c r="P446" s="51"/>
      <c r="Q446" s="37" t="str">
        <f t="shared" ca="1" si="0"/>
        <v/>
      </c>
      <c r="R446" s="52"/>
      <c r="S446" s="52"/>
      <c r="T446" s="52"/>
      <c r="U446" s="61"/>
      <c r="V446" s="62"/>
      <c r="W446" s="63"/>
      <c r="X446" s="64"/>
      <c r="Y446" s="18"/>
      <c r="Z446" s="18"/>
      <c r="AA446" s="18"/>
      <c r="AB446" s="18"/>
    </row>
    <row r="447" spans="1:28">
      <c r="A447" s="51">
        <v>446</v>
      </c>
      <c r="B447" s="52"/>
      <c r="C447" s="61"/>
      <c r="D447" s="51"/>
      <c r="E447" s="51" t="s">
        <v>1485</v>
      </c>
      <c r="F447" s="55" t="s">
        <v>1486</v>
      </c>
      <c r="G447" s="56"/>
      <c r="H447" s="57"/>
      <c r="I447" s="51"/>
      <c r="J447" s="51">
        <f>173</f>
        <v>173</v>
      </c>
      <c r="K447" s="58">
        <v>8.9120370370370362E-4</v>
      </c>
      <c r="L447" s="59" t="s">
        <v>1162</v>
      </c>
      <c r="M447" s="51"/>
      <c r="N447" s="51"/>
      <c r="O447" s="51"/>
      <c r="P447" s="51"/>
      <c r="Q447" s="37" t="str">
        <f t="shared" ca="1" si="0"/>
        <v/>
      </c>
      <c r="R447" s="52"/>
      <c r="S447" s="52"/>
      <c r="T447" s="52"/>
      <c r="U447" s="61"/>
      <c r="V447" s="62"/>
      <c r="W447" s="63"/>
      <c r="X447" s="64"/>
      <c r="Y447" s="18"/>
      <c r="Z447" s="18"/>
      <c r="AA447" s="18"/>
      <c r="AB447" s="18"/>
    </row>
    <row r="448" spans="1:28">
      <c r="A448" s="51">
        <v>447</v>
      </c>
      <c r="B448" s="52"/>
      <c r="C448" s="61"/>
      <c r="D448" s="51"/>
      <c r="E448" s="51" t="s">
        <v>1487</v>
      </c>
      <c r="F448" s="55" t="s">
        <v>1488</v>
      </c>
      <c r="G448" s="56"/>
      <c r="H448" s="57"/>
      <c r="I448" s="51"/>
      <c r="J448" s="51">
        <f>297</f>
        <v>297</v>
      </c>
      <c r="K448" s="58">
        <v>4.2129629629629626E-3</v>
      </c>
      <c r="L448" s="59" t="s">
        <v>1162</v>
      </c>
      <c r="M448" s="51"/>
      <c r="N448" s="51"/>
      <c r="O448" s="51"/>
      <c r="P448" s="51"/>
      <c r="Q448" s="37" t="str">
        <f t="shared" ca="1" si="0"/>
        <v/>
      </c>
      <c r="R448" s="52"/>
      <c r="S448" s="52"/>
      <c r="T448" s="52"/>
      <c r="U448" s="61"/>
      <c r="V448" s="62"/>
      <c r="W448" s="63"/>
      <c r="X448" s="64"/>
      <c r="Y448" s="18"/>
      <c r="Z448" s="18"/>
      <c r="AA448" s="18"/>
      <c r="AB448" s="18"/>
    </row>
    <row r="449" spans="1:28">
      <c r="A449" s="51">
        <v>448</v>
      </c>
      <c r="B449" s="52"/>
      <c r="C449" s="61"/>
      <c r="D449" s="51"/>
      <c r="E449" s="51" t="s">
        <v>1489</v>
      </c>
      <c r="F449" s="55" t="s">
        <v>1490</v>
      </c>
      <c r="G449" s="56"/>
      <c r="H449" s="57"/>
      <c r="I449" s="51"/>
      <c r="J449" s="51">
        <f>182</f>
        <v>182</v>
      </c>
      <c r="K449" s="58">
        <v>2.7314814814814819E-3</v>
      </c>
      <c r="L449" s="59" t="s">
        <v>1162</v>
      </c>
      <c r="M449" s="51"/>
      <c r="N449" s="51"/>
      <c r="O449" s="51"/>
      <c r="P449" s="51"/>
      <c r="Q449" s="37" t="str">
        <f t="shared" ca="1" si="0"/>
        <v/>
      </c>
      <c r="R449" s="52"/>
      <c r="S449" s="52"/>
      <c r="T449" s="52"/>
      <c r="U449" s="61"/>
      <c r="V449" s="62"/>
      <c r="W449" s="63"/>
      <c r="X449" s="64"/>
      <c r="Y449" s="18"/>
      <c r="Z449" s="18"/>
      <c r="AA449" s="18"/>
      <c r="AB449" s="18"/>
    </row>
    <row r="450" spans="1:28">
      <c r="A450" s="51">
        <v>449</v>
      </c>
      <c r="B450" s="52"/>
      <c r="C450" s="61"/>
      <c r="D450" s="51"/>
      <c r="E450" s="51" t="s">
        <v>1492</v>
      </c>
      <c r="F450" s="55" t="s">
        <v>1494</v>
      </c>
      <c r="G450" s="56"/>
      <c r="H450" s="57"/>
      <c r="I450" s="51"/>
      <c r="J450" s="51">
        <f>1.8*1000</f>
        <v>1800</v>
      </c>
      <c r="K450" s="58">
        <v>1.0081018518518519E-2</v>
      </c>
      <c r="L450" s="59" t="s">
        <v>1162</v>
      </c>
      <c r="M450" s="51"/>
      <c r="N450" s="51"/>
      <c r="O450" s="51"/>
      <c r="P450" s="51"/>
      <c r="Q450" s="37" t="str">
        <f t="shared" ca="1" si="0"/>
        <v/>
      </c>
      <c r="R450" s="52"/>
      <c r="S450" s="52"/>
      <c r="T450" s="52"/>
      <c r="U450" s="61"/>
      <c r="V450" s="62"/>
      <c r="W450" s="63"/>
      <c r="X450" s="64"/>
      <c r="Y450" s="18"/>
      <c r="Z450" s="18"/>
      <c r="AA450" s="18"/>
      <c r="AB450" s="18"/>
    </row>
    <row r="451" spans="1:28">
      <c r="A451" s="51">
        <v>450</v>
      </c>
      <c r="B451" s="52"/>
      <c r="C451" s="61"/>
      <c r="D451" s="51"/>
      <c r="E451" s="51" t="s">
        <v>1496</v>
      </c>
      <c r="F451" s="55" t="s">
        <v>1497</v>
      </c>
      <c r="G451" s="56"/>
      <c r="H451" s="57"/>
      <c r="I451" s="51"/>
      <c r="J451" s="51">
        <f>3.6*1000</f>
        <v>3600</v>
      </c>
      <c r="K451" s="58">
        <v>2.7025462962962959E-2</v>
      </c>
      <c r="L451" s="59" t="s">
        <v>1162</v>
      </c>
      <c r="M451" s="51"/>
      <c r="N451" s="51"/>
      <c r="O451" s="51"/>
      <c r="P451" s="51"/>
      <c r="Q451" s="37" t="str">
        <f t="shared" ca="1" si="0"/>
        <v/>
      </c>
      <c r="R451" s="52"/>
      <c r="S451" s="52"/>
      <c r="T451" s="52"/>
      <c r="U451" s="61"/>
      <c r="V451" s="62"/>
      <c r="W451" s="63"/>
      <c r="X451" s="64"/>
      <c r="Y451" s="18"/>
      <c r="Z451" s="18"/>
      <c r="AA451" s="18"/>
      <c r="AB451" s="18"/>
    </row>
    <row r="452" spans="1:28">
      <c r="A452" s="51">
        <v>451</v>
      </c>
      <c r="B452" s="52"/>
      <c r="C452" s="61"/>
      <c r="D452" s="51"/>
      <c r="E452" s="51" t="s">
        <v>1498</v>
      </c>
      <c r="F452" s="55" t="s">
        <v>1499</v>
      </c>
      <c r="G452" s="56"/>
      <c r="H452" s="57"/>
      <c r="I452" s="51"/>
      <c r="J452" s="51">
        <f>198</f>
        <v>198</v>
      </c>
      <c r="K452" s="58">
        <v>2.3611111111111111E-3</v>
      </c>
      <c r="L452" s="59" t="s">
        <v>1162</v>
      </c>
      <c r="M452" s="51"/>
      <c r="N452" s="51"/>
      <c r="O452" s="51"/>
      <c r="P452" s="51"/>
      <c r="Q452" s="37" t="str">
        <f t="shared" ca="1" si="0"/>
        <v/>
      </c>
      <c r="R452" s="52"/>
      <c r="S452" s="52"/>
      <c r="T452" s="52"/>
      <c r="U452" s="61"/>
      <c r="V452" s="62"/>
      <c r="W452" s="63"/>
      <c r="X452" s="64"/>
      <c r="Y452" s="18"/>
      <c r="Z452" s="18"/>
      <c r="AA452" s="18"/>
      <c r="AB452" s="18"/>
    </row>
    <row r="453" spans="1:28">
      <c r="A453" s="51">
        <v>452</v>
      </c>
      <c r="B453" s="52"/>
      <c r="C453" s="61"/>
      <c r="D453" s="51"/>
      <c r="E453" s="51" t="s">
        <v>1502</v>
      </c>
      <c r="F453" s="55" t="s">
        <v>1504</v>
      </c>
      <c r="G453" s="56"/>
      <c r="H453" s="57"/>
      <c r="I453" s="51"/>
      <c r="J453" s="51">
        <f>193</f>
        <v>193</v>
      </c>
      <c r="K453" s="58">
        <v>1.7013888888888892E-3</v>
      </c>
      <c r="L453" s="59" t="s">
        <v>1162</v>
      </c>
      <c r="M453" s="51"/>
      <c r="N453" s="51"/>
      <c r="O453" s="51"/>
      <c r="P453" s="51"/>
      <c r="Q453" s="37" t="str">
        <f t="shared" ca="1" si="0"/>
        <v/>
      </c>
      <c r="R453" s="52"/>
      <c r="S453" s="52"/>
      <c r="T453" s="52"/>
      <c r="U453" s="61"/>
      <c r="V453" s="62"/>
      <c r="W453" s="63"/>
      <c r="X453" s="64"/>
      <c r="Y453" s="18"/>
      <c r="Z453" s="18"/>
      <c r="AA453" s="18"/>
      <c r="AB453" s="18"/>
    </row>
    <row r="454" spans="1:28">
      <c r="A454" s="51">
        <v>453</v>
      </c>
      <c r="B454" s="52"/>
      <c r="C454" s="61"/>
      <c r="D454" s="51"/>
      <c r="E454" s="51" t="s">
        <v>1505</v>
      </c>
      <c r="F454" s="55" t="s">
        <v>1506</v>
      </c>
      <c r="G454" s="56"/>
      <c r="H454" s="57"/>
      <c r="I454" s="51"/>
      <c r="J454" s="51">
        <f>1*1000</f>
        <v>1000</v>
      </c>
      <c r="K454" s="58">
        <v>7.4189814814814813E-3</v>
      </c>
      <c r="L454" s="59" t="s">
        <v>1162</v>
      </c>
      <c r="M454" s="51"/>
      <c r="N454" s="51"/>
      <c r="O454" s="51"/>
      <c r="P454" s="51"/>
      <c r="Q454" s="37" t="str">
        <f t="shared" ca="1" si="0"/>
        <v/>
      </c>
      <c r="R454" s="52"/>
      <c r="S454" s="52"/>
      <c r="T454" s="52"/>
      <c r="U454" s="61"/>
      <c r="V454" s="62"/>
      <c r="W454" s="63"/>
      <c r="X454" s="64"/>
      <c r="Y454" s="18"/>
      <c r="Z454" s="18"/>
      <c r="AA454" s="18"/>
      <c r="AB454" s="18"/>
    </row>
    <row r="455" spans="1:28">
      <c r="A455" s="51">
        <v>454</v>
      </c>
      <c r="B455" s="52"/>
      <c r="C455" s="61"/>
      <c r="D455" s="51"/>
      <c r="E455" s="51" t="s">
        <v>1509</v>
      </c>
      <c r="F455" s="55" t="s">
        <v>1510</v>
      </c>
      <c r="G455" s="56"/>
      <c r="H455" s="57"/>
      <c r="I455" s="51"/>
      <c r="J455" s="51">
        <f>530</f>
        <v>530</v>
      </c>
      <c r="K455" s="58">
        <v>1.6666666666666668E-3</v>
      </c>
      <c r="L455" s="59" t="s">
        <v>1162</v>
      </c>
      <c r="M455" s="51"/>
      <c r="N455" s="51"/>
      <c r="O455" s="51"/>
      <c r="P455" s="51"/>
      <c r="Q455" s="37" t="str">
        <f t="shared" ca="1" si="0"/>
        <v/>
      </c>
      <c r="R455" s="52"/>
      <c r="S455" s="52"/>
      <c r="T455" s="52"/>
      <c r="U455" s="61"/>
      <c r="V455" s="62"/>
      <c r="W455" s="63"/>
      <c r="X455" s="64"/>
      <c r="Y455" s="18"/>
      <c r="Z455" s="18"/>
      <c r="AA455" s="18"/>
      <c r="AB455" s="18"/>
    </row>
    <row r="456" spans="1:28">
      <c r="A456" s="51">
        <v>455</v>
      </c>
      <c r="B456" s="52"/>
      <c r="C456" s="61"/>
      <c r="D456" s="51"/>
      <c r="E456" s="51" t="s">
        <v>1516</v>
      </c>
      <c r="F456" s="55" t="s">
        <v>1518</v>
      </c>
      <c r="G456" s="56"/>
      <c r="H456" s="57"/>
      <c r="I456" s="51"/>
      <c r="J456" s="51">
        <f>509</f>
        <v>509</v>
      </c>
      <c r="K456" s="58">
        <v>1.3773148148148147E-3</v>
      </c>
      <c r="L456" s="59" t="s">
        <v>1162</v>
      </c>
      <c r="M456" s="51"/>
      <c r="N456" s="51"/>
      <c r="O456" s="51"/>
      <c r="P456" s="51"/>
      <c r="Q456" s="37" t="str">
        <f t="shared" ca="1" si="0"/>
        <v/>
      </c>
      <c r="R456" s="52"/>
      <c r="S456" s="52"/>
      <c r="T456" s="52"/>
      <c r="U456" s="61"/>
      <c r="V456" s="62"/>
      <c r="W456" s="63"/>
      <c r="X456" s="64"/>
      <c r="Y456" s="18"/>
      <c r="Z456" s="18"/>
      <c r="AA456" s="18"/>
      <c r="AB456" s="18"/>
    </row>
    <row r="457" spans="1:28">
      <c r="A457" s="51">
        <v>456</v>
      </c>
      <c r="B457" s="52"/>
      <c r="C457" s="61"/>
      <c r="D457" s="51"/>
      <c r="E457" s="51" t="s">
        <v>1522</v>
      </c>
      <c r="F457" s="55" t="s">
        <v>1523</v>
      </c>
      <c r="G457" s="56"/>
      <c r="H457" s="57"/>
      <c r="I457" s="51"/>
      <c r="J457" s="51">
        <f>352</f>
        <v>352</v>
      </c>
      <c r="K457" s="58">
        <v>2.0254629629629629E-3</v>
      </c>
      <c r="L457" s="59" t="s">
        <v>1162</v>
      </c>
      <c r="M457" s="51"/>
      <c r="N457" s="51"/>
      <c r="O457" s="51"/>
      <c r="P457" s="51"/>
      <c r="Q457" s="37" t="str">
        <f t="shared" ca="1" si="0"/>
        <v/>
      </c>
      <c r="R457" s="52"/>
      <c r="S457" s="52"/>
      <c r="T457" s="52"/>
      <c r="U457" s="61"/>
      <c r="V457" s="62"/>
      <c r="W457" s="63"/>
      <c r="X457" s="64"/>
      <c r="Y457" s="18"/>
      <c r="Z457" s="18"/>
      <c r="AA457" s="18"/>
      <c r="AB457" s="18"/>
    </row>
    <row r="458" spans="1:28">
      <c r="A458" s="51">
        <v>457</v>
      </c>
      <c r="B458" s="52"/>
      <c r="C458" s="61"/>
      <c r="D458" s="51"/>
      <c r="E458" s="51" t="s">
        <v>1529</v>
      </c>
      <c r="F458" s="55" t="s">
        <v>1530</v>
      </c>
      <c r="G458" s="56"/>
      <c r="H458" s="57"/>
      <c r="I458" s="51"/>
      <c r="J458" s="51">
        <f>223</f>
        <v>223</v>
      </c>
      <c r="K458" s="58">
        <v>3.8888888888888883E-3</v>
      </c>
      <c r="L458" s="59" t="s">
        <v>1162</v>
      </c>
      <c r="M458" s="51"/>
      <c r="N458" s="51"/>
      <c r="O458" s="51"/>
      <c r="P458" s="51"/>
      <c r="Q458" s="37" t="str">
        <f t="shared" ca="1" si="0"/>
        <v/>
      </c>
      <c r="R458" s="52"/>
      <c r="S458" s="52"/>
      <c r="T458" s="52"/>
      <c r="U458" s="61"/>
      <c r="V458" s="62"/>
      <c r="W458" s="63"/>
      <c r="X458" s="64"/>
      <c r="Y458" s="18"/>
      <c r="Z458" s="18"/>
      <c r="AA458" s="18"/>
      <c r="AB458" s="18"/>
    </row>
    <row r="459" spans="1:28">
      <c r="A459" s="51">
        <v>458</v>
      </c>
      <c r="B459" s="52"/>
      <c r="C459" s="61"/>
      <c r="D459" s="51"/>
      <c r="E459" s="51" t="s">
        <v>1533</v>
      </c>
      <c r="F459" s="55" t="s">
        <v>1534</v>
      </c>
      <c r="G459" s="56"/>
      <c r="H459" s="57"/>
      <c r="I459" s="51"/>
      <c r="J459" s="51">
        <f>2.5*1000</f>
        <v>2500</v>
      </c>
      <c r="K459" s="58">
        <v>3.4340277777777782E-2</v>
      </c>
      <c r="L459" s="59" t="s">
        <v>1162</v>
      </c>
      <c r="M459" s="51"/>
      <c r="N459" s="51"/>
      <c r="O459" s="51"/>
      <c r="P459" s="51"/>
      <c r="Q459" s="37" t="str">
        <f t="shared" ca="1" si="0"/>
        <v/>
      </c>
      <c r="R459" s="52"/>
      <c r="S459" s="52"/>
      <c r="T459" s="52"/>
      <c r="U459" s="61"/>
      <c r="V459" s="62"/>
      <c r="W459" s="63"/>
      <c r="X459" s="64"/>
      <c r="Y459" s="18"/>
      <c r="Z459" s="18"/>
      <c r="AA459" s="18"/>
      <c r="AB459" s="18"/>
    </row>
    <row r="460" spans="1:28">
      <c r="A460" s="51">
        <v>459</v>
      </c>
      <c r="B460" s="52"/>
      <c r="C460" s="61"/>
      <c r="D460" s="51"/>
      <c r="E460" s="51" t="s">
        <v>1540</v>
      </c>
      <c r="F460" s="55" t="s">
        <v>1541</v>
      </c>
      <c r="G460" s="56"/>
      <c r="H460" s="57"/>
      <c r="I460" s="51"/>
      <c r="J460" s="51">
        <f>4.4*1000</f>
        <v>4400</v>
      </c>
      <c r="K460" s="58">
        <v>2.7303240740740743E-2</v>
      </c>
      <c r="L460" s="59" t="s">
        <v>1162</v>
      </c>
      <c r="M460" s="51"/>
      <c r="N460" s="51"/>
      <c r="O460" s="51"/>
      <c r="P460" s="51"/>
      <c r="Q460" s="37" t="str">
        <f t="shared" ca="1" si="0"/>
        <v/>
      </c>
      <c r="R460" s="52"/>
      <c r="S460" s="52"/>
      <c r="T460" s="52"/>
      <c r="U460" s="61"/>
      <c r="V460" s="62"/>
      <c r="W460" s="63"/>
      <c r="X460" s="64"/>
      <c r="Y460" s="18"/>
      <c r="Z460" s="18"/>
      <c r="AA460" s="18"/>
      <c r="AB460" s="18"/>
    </row>
    <row r="461" spans="1:28">
      <c r="A461" s="51">
        <v>460</v>
      </c>
      <c r="B461" s="52"/>
      <c r="C461" s="61"/>
      <c r="D461" s="51"/>
      <c r="E461" s="51" t="s">
        <v>1543</v>
      </c>
      <c r="F461" s="55" t="s">
        <v>1544</v>
      </c>
      <c r="G461" s="56"/>
      <c r="H461" s="57"/>
      <c r="I461" s="51"/>
      <c r="J461" s="51">
        <f>2.7*1000</f>
        <v>2700</v>
      </c>
      <c r="K461" s="58">
        <v>1.9560185185185184E-3</v>
      </c>
      <c r="L461" s="59" t="s">
        <v>1162</v>
      </c>
      <c r="M461" s="51"/>
      <c r="N461" s="51"/>
      <c r="O461" s="51"/>
      <c r="P461" s="51"/>
      <c r="Q461" s="37" t="str">
        <f t="shared" ca="1" si="0"/>
        <v/>
      </c>
      <c r="R461" s="52"/>
      <c r="S461" s="52"/>
      <c r="T461" s="52"/>
      <c r="U461" s="61"/>
      <c r="V461" s="62"/>
      <c r="W461" s="63"/>
      <c r="X461" s="64"/>
      <c r="Y461" s="18"/>
      <c r="Z461" s="18"/>
      <c r="AA461" s="18"/>
      <c r="AB461" s="18"/>
    </row>
    <row r="462" spans="1:28">
      <c r="A462" s="51">
        <v>461</v>
      </c>
      <c r="B462" s="52"/>
      <c r="C462" s="61"/>
      <c r="D462" s="51"/>
      <c r="E462" s="51" t="s">
        <v>1547</v>
      </c>
      <c r="F462" s="55" t="s">
        <v>1548</v>
      </c>
      <c r="G462" s="56"/>
      <c r="H462" s="57"/>
      <c r="I462" s="51"/>
      <c r="J462" s="51">
        <f>2.2*1000</f>
        <v>2200</v>
      </c>
      <c r="K462" s="58">
        <v>1.1331018518518518E-2</v>
      </c>
      <c r="L462" s="59" t="s">
        <v>1162</v>
      </c>
      <c r="M462" s="51"/>
      <c r="N462" s="51"/>
      <c r="O462" s="51"/>
      <c r="P462" s="51"/>
      <c r="Q462" s="37" t="str">
        <f t="shared" ca="1" si="0"/>
        <v/>
      </c>
      <c r="R462" s="52"/>
      <c r="S462" s="52"/>
      <c r="T462" s="52"/>
      <c r="U462" s="61"/>
      <c r="V462" s="62"/>
      <c r="W462" s="63"/>
      <c r="X462" s="64"/>
      <c r="Y462" s="18"/>
      <c r="Z462" s="18"/>
      <c r="AA462" s="18"/>
      <c r="AB462" s="18"/>
    </row>
    <row r="463" spans="1:28">
      <c r="A463" s="51">
        <v>462</v>
      </c>
      <c r="B463" s="52"/>
      <c r="C463" s="61"/>
      <c r="D463" s="51"/>
      <c r="E463" s="51" t="s">
        <v>1549</v>
      </c>
      <c r="F463" s="55" t="s">
        <v>1550</v>
      </c>
      <c r="G463" s="56"/>
      <c r="H463" s="57"/>
      <c r="I463" s="51"/>
      <c r="J463" s="51">
        <f>1*1000</f>
        <v>1000</v>
      </c>
      <c r="K463" s="58">
        <v>7.6504629629629631E-3</v>
      </c>
      <c r="L463" s="59" t="s">
        <v>1162</v>
      </c>
      <c r="M463" s="51"/>
      <c r="N463" s="51"/>
      <c r="O463" s="51"/>
      <c r="P463" s="51"/>
      <c r="Q463" s="37" t="str">
        <f t="shared" ca="1" si="0"/>
        <v/>
      </c>
      <c r="R463" s="52"/>
      <c r="S463" s="52"/>
      <c r="T463" s="52"/>
      <c r="U463" s="61"/>
      <c r="V463" s="62"/>
      <c r="W463" s="63"/>
      <c r="X463" s="64"/>
      <c r="Y463" s="18"/>
      <c r="Z463" s="18"/>
      <c r="AA463" s="18"/>
      <c r="AB463" s="18"/>
    </row>
    <row r="464" spans="1:28">
      <c r="A464" s="51">
        <v>463</v>
      </c>
      <c r="B464" s="52"/>
      <c r="C464" s="61"/>
      <c r="D464" s="51"/>
      <c r="E464" s="51" t="s">
        <v>1551</v>
      </c>
      <c r="F464" s="55" t="s">
        <v>1552</v>
      </c>
      <c r="G464" s="56"/>
      <c r="H464" s="57"/>
      <c r="I464" s="51"/>
      <c r="J464" s="51">
        <f>704</f>
        <v>704</v>
      </c>
      <c r="K464" s="58">
        <v>4.7337962962962958E-3</v>
      </c>
      <c r="L464" s="59" t="s">
        <v>1162</v>
      </c>
      <c r="M464" s="51"/>
      <c r="N464" s="51"/>
      <c r="O464" s="51"/>
      <c r="P464" s="51"/>
      <c r="Q464" s="37" t="str">
        <f t="shared" ca="1" si="0"/>
        <v/>
      </c>
      <c r="R464" s="52"/>
      <c r="S464" s="52"/>
      <c r="T464" s="52"/>
      <c r="U464" s="61"/>
      <c r="V464" s="62"/>
      <c r="W464" s="63"/>
      <c r="X464" s="64"/>
      <c r="Y464" s="18"/>
      <c r="Z464" s="18"/>
      <c r="AA464" s="18"/>
      <c r="AB464" s="18"/>
    </row>
    <row r="465" spans="1:28">
      <c r="A465" s="51">
        <v>464</v>
      </c>
      <c r="B465" s="52"/>
      <c r="C465" s="61"/>
      <c r="D465" s="51"/>
      <c r="E465" s="51" t="s">
        <v>1555</v>
      </c>
      <c r="F465" s="55" t="s">
        <v>1556</v>
      </c>
      <c r="G465" s="56"/>
      <c r="H465" s="57"/>
      <c r="I465" s="51"/>
      <c r="J465" s="51">
        <f>396</f>
        <v>396</v>
      </c>
      <c r="K465" s="58">
        <v>2.6041666666666665E-3</v>
      </c>
      <c r="L465" s="59" t="s">
        <v>1162</v>
      </c>
      <c r="M465" s="51"/>
      <c r="N465" s="51"/>
      <c r="O465" s="51"/>
      <c r="P465" s="51"/>
      <c r="Q465" s="37" t="str">
        <f t="shared" ca="1" si="0"/>
        <v/>
      </c>
      <c r="R465" s="52"/>
      <c r="S465" s="52"/>
      <c r="T465" s="52"/>
      <c r="U465" s="61"/>
      <c r="V465" s="62"/>
      <c r="W465" s="63"/>
      <c r="X465" s="64"/>
      <c r="Y465" s="18"/>
      <c r="Z465" s="18"/>
      <c r="AA465" s="18"/>
      <c r="AB465" s="18"/>
    </row>
    <row r="466" spans="1:28">
      <c r="A466" s="51">
        <v>465</v>
      </c>
      <c r="B466" s="52"/>
      <c r="C466" s="61"/>
      <c r="D466" s="51"/>
      <c r="E466" s="51" t="s">
        <v>1557</v>
      </c>
      <c r="F466" s="55" t="s">
        <v>1559</v>
      </c>
      <c r="G466" s="56"/>
      <c r="H466" s="57"/>
      <c r="I466" s="51"/>
      <c r="J466" s="51">
        <f>260</f>
        <v>260</v>
      </c>
      <c r="K466" s="58">
        <v>1.5393518518518519E-3</v>
      </c>
      <c r="L466" s="59" t="s">
        <v>1162</v>
      </c>
      <c r="M466" s="51"/>
      <c r="N466" s="51"/>
      <c r="O466" s="51"/>
      <c r="P466" s="51"/>
      <c r="Q466" s="37" t="str">
        <f t="shared" ca="1" si="0"/>
        <v/>
      </c>
      <c r="R466" s="52"/>
      <c r="S466" s="52"/>
      <c r="T466" s="52"/>
      <c r="U466" s="61"/>
      <c r="V466" s="62"/>
      <c r="W466" s="63"/>
      <c r="X466" s="64"/>
      <c r="Y466" s="18"/>
      <c r="Z466" s="18"/>
      <c r="AA466" s="18"/>
      <c r="AB466" s="18"/>
    </row>
    <row r="467" spans="1:28">
      <c r="A467" s="51">
        <v>466</v>
      </c>
      <c r="B467" s="52"/>
      <c r="C467" s="61"/>
      <c r="D467" s="51"/>
      <c r="E467" s="51" t="s">
        <v>1562</v>
      </c>
      <c r="F467" s="55" t="s">
        <v>1563</v>
      </c>
      <c r="G467" s="56"/>
      <c r="H467" s="57"/>
      <c r="I467" s="51"/>
      <c r="J467" s="51">
        <f>366</f>
        <v>366</v>
      </c>
      <c r="K467" s="58">
        <v>1.1342592592592591E-3</v>
      </c>
      <c r="L467" s="59" t="s">
        <v>1162</v>
      </c>
      <c r="M467" s="51"/>
      <c r="N467" s="51"/>
      <c r="O467" s="51"/>
      <c r="P467" s="51"/>
      <c r="Q467" s="37" t="str">
        <f t="shared" ca="1" si="0"/>
        <v/>
      </c>
      <c r="R467" s="52"/>
      <c r="S467" s="52"/>
      <c r="T467" s="52"/>
      <c r="U467" s="61"/>
      <c r="V467" s="62"/>
      <c r="W467" s="63"/>
      <c r="X467" s="64"/>
      <c r="Y467" s="18"/>
      <c r="Z467" s="18"/>
      <c r="AA467" s="18"/>
      <c r="AB467" s="18"/>
    </row>
    <row r="468" spans="1:28">
      <c r="A468" s="51">
        <v>467</v>
      </c>
      <c r="B468" s="52"/>
      <c r="C468" s="61"/>
      <c r="D468" s="51"/>
      <c r="E468" s="51" t="s">
        <v>1564</v>
      </c>
      <c r="F468" s="55" t="s">
        <v>1565</v>
      </c>
      <c r="G468" s="56"/>
      <c r="H468" s="57"/>
      <c r="I468" s="51"/>
      <c r="J468" s="51">
        <f>461</f>
        <v>461</v>
      </c>
      <c r="K468" s="58">
        <v>1.8287037037037037E-3</v>
      </c>
      <c r="L468" s="59" t="s">
        <v>1162</v>
      </c>
      <c r="M468" s="51"/>
      <c r="N468" s="51"/>
      <c r="O468" s="51"/>
      <c r="P468" s="51"/>
      <c r="Q468" s="37" t="str">
        <f t="shared" ca="1" si="0"/>
        <v/>
      </c>
      <c r="R468" s="52"/>
      <c r="S468" s="52"/>
      <c r="T468" s="52"/>
      <c r="U468" s="61"/>
      <c r="V468" s="62"/>
      <c r="W468" s="63"/>
      <c r="X468" s="64"/>
      <c r="Y468" s="18"/>
      <c r="Z468" s="18"/>
      <c r="AA468" s="18"/>
      <c r="AB468" s="18"/>
    </row>
    <row r="469" spans="1:28">
      <c r="A469" s="51">
        <v>468</v>
      </c>
      <c r="B469" s="52"/>
      <c r="C469" s="61"/>
      <c r="D469" s="51"/>
      <c r="E469" s="51" t="s">
        <v>1566</v>
      </c>
      <c r="F469" s="55" t="s">
        <v>1567</v>
      </c>
      <c r="G469" s="56"/>
      <c r="H469" s="57"/>
      <c r="I469" s="51"/>
      <c r="J469" s="51">
        <f>849</f>
        <v>849</v>
      </c>
      <c r="K469" s="58">
        <v>9.4907407407407408E-4</v>
      </c>
      <c r="L469" s="59" t="s">
        <v>1162</v>
      </c>
      <c r="M469" s="51"/>
      <c r="N469" s="51"/>
      <c r="O469" s="51"/>
      <c r="P469" s="51"/>
      <c r="Q469" s="37" t="str">
        <f t="shared" ca="1" si="0"/>
        <v/>
      </c>
      <c r="R469" s="52"/>
      <c r="S469" s="52"/>
      <c r="T469" s="52"/>
      <c r="U469" s="61"/>
      <c r="V469" s="62"/>
      <c r="W469" s="63"/>
      <c r="X469" s="64"/>
      <c r="Y469" s="18"/>
      <c r="Z469" s="18"/>
      <c r="AA469" s="18"/>
      <c r="AB469" s="18"/>
    </row>
    <row r="470" spans="1:28">
      <c r="A470" s="51">
        <v>469</v>
      </c>
      <c r="B470" s="52"/>
      <c r="C470" s="61"/>
      <c r="D470" s="51"/>
      <c r="E470" s="51" t="s">
        <v>1568</v>
      </c>
      <c r="F470" s="55" t="s">
        <v>1569</v>
      </c>
      <c r="G470" s="56"/>
      <c r="H470" s="57"/>
      <c r="I470" s="51"/>
      <c r="J470" s="51">
        <f>248</f>
        <v>248</v>
      </c>
      <c r="K470" s="58">
        <v>1.5046296296296294E-3</v>
      </c>
      <c r="L470" s="59" t="s">
        <v>1162</v>
      </c>
      <c r="M470" s="51"/>
      <c r="N470" s="51"/>
      <c r="O470" s="51"/>
      <c r="P470" s="51"/>
      <c r="Q470" s="37" t="str">
        <f t="shared" ca="1" si="0"/>
        <v/>
      </c>
      <c r="R470" s="52"/>
      <c r="S470" s="52"/>
      <c r="T470" s="52"/>
      <c r="U470" s="61"/>
      <c r="V470" s="62"/>
      <c r="W470" s="63"/>
      <c r="X470" s="64"/>
      <c r="Y470" s="18"/>
      <c r="Z470" s="18"/>
      <c r="AA470" s="18"/>
      <c r="AB470" s="18"/>
    </row>
    <row r="471" spans="1:28">
      <c r="A471" s="51">
        <v>470</v>
      </c>
      <c r="B471" s="52"/>
      <c r="C471" s="61"/>
      <c r="D471" s="51"/>
      <c r="E471" s="51" t="s">
        <v>1570</v>
      </c>
      <c r="F471" s="55" t="s">
        <v>1571</v>
      </c>
      <c r="G471" s="56"/>
      <c r="H471" s="57"/>
      <c r="I471" s="51"/>
      <c r="J471" s="51">
        <f>671</f>
        <v>671</v>
      </c>
      <c r="K471" s="58">
        <v>1.3078703703703705E-3</v>
      </c>
      <c r="L471" s="59" t="s">
        <v>1162</v>
      </c>
      <c r="M471" s="51"/>
      <c r="N471" s="51"/>
      <c r="O471" s="51"/>
      <c r="P471" s="51"/>
      <c r="Q471" s="37" t="str">
        <f t="shared" ca="1" si="0"/>
        <v/>
      </c>
      <c r="R471" s="52"/>
      <c r="S471" s="52"/>
      <c r="T471" s="52"/>
      <c r="U471" s="61"/>
      <c r="V471" s="62"/>
      <c r="W471" s="63"/>
      <c r="X471" s="64"/>
      <c r="Y471" s="18"/>
      <c r="Z471" s="18"/>
      <c r="AA471" s="18"/>
      <c r="AB471" s="18"/>
    </row>
    <row r="472" spans="1:28">
      <c r="A472" s="51">
        <v>471</v>
      </c>
      <c r="B472" s="52"/>
      <c r="C472" s="61"/>
      <c r="D472" s="51"/>
      <c r="E472" s="51" t="s">
        <v>1572</v>
      </c>
      <c r="F472" s="55" t="s">
        <v>1573</v>
      </c>
      <c r="G472" s="56"/>
      <c r="H472" s="57"/>
      <c r="I472" s="51"/>
      <c r="J472" s="51">
        <f>335</f>
        <v>335</v>
      </c>
      <c r="K472" s="58">
        <v>7.0601851851851847E-4</v>
      </c>
      <c r="L472" s="59" t="s">
        <v>1162</v>
      </c>
      <c r="M472" s="51"/>
      <c r="N472" s="51"/>
      <c r="O472" s="51"/>
      <c r="P472" s="51"/>
      <c r="Q472" s="37" t="str">
        <f t="shared" ca="1" si="0"/>
        <v/>
      </c>
      <c r="R472" s="52"/>
      <c r="S472" s="52"/>
      <c r="T472" s="52"/>
      <c r="U472" s="61"/>
      <c r="V472" s="62"/>
      <c r="W472" s="63"/>
      <c r="X472" s="64"/>
      <c r="Y472" s="18"/>
      <c r="Z472" s="18"/>
      <c r="AA472" s="18"/>
      <c r="AB472" s="18"/>
    </row>
    <row r="473" spans="1:28">
      <c r="A473" s="51">
        <v>472</v>
      </c>
      <c r="B473" s="52"/>
      <c r="C473" s="61"/>
      <c r="D473" s="51"/>
      <c r="E473" s="51" t="s">
        <v>1574</v>
      </c>
      <c r="F473" s="55" t="s">
        <v>1575</v>
      </c>
      <c r="G473" s="56"/>
      <c r="H473" s="57"/>
      <c r="I473" s="51"/>
      <c r="J473" s="51">
        <f>1*1000</f>
        <v>1000</v>
      </c>
      <c r="K473" s="58">
        <v>4.9884259259259265E-3</v>
      </c>
      <c r="L473" s="59" t="s">
        <v>1162</v>
      </c>
      <c r="M473" s="51"/>
      <c r="N473" s="51"/>
      <c r="O473" s="51"/>
      <c r="P473" s="51"/>
      <c r="Q473" s="37" t="str">
        <f t="shared" ca="1" si="0"/>
        <v/>
      </c>
      <c r="R473" s="52"/>
      <c r="S473" s="52"/>
      <c r="T473" s="52"/>
      <c r="U473" s="61"/>
      <c r="V473" s="62"/>
      <c r="W473" s="63"/>
      <c r="X473" s="64"/>
      <c r="Y473" s="18"/>
      <c r="Z473" s="18"/>
      <c r="AA473" s="18"/>
      <c r="AB473" s="18"/>
    </row>
    <row r="474" spans="1:28">
      <c r="A474" s="51">
        <v>473</v>
      </c>
      <c r="B474" s="52"/>
      <c r="C474" s="61"/>
      <c r="D474" s="51"/>
      <c r="E474" s="51" t="s">
        <v>1576</v>
      </c>
      <c r="F474" s="55" t="s">
        <v>1577</v>
      </c>
      <c r="G474" s="56"/>
      <c r="H474" s="57"/>
      <c r="I474" s="51"/>
      <c r="J474" s="51">
        <f>704</f>
        <v>704</v>
      </c>
      <c r="K474" s="58">
        <v>8.4259259259259253E-3</v>
      </c>
      <c r="L474" s="59" t="s">
        <v>1162</v>
      </c>
      <c r="M474" s="51"/>
      <c r="N474" s="51"/>
      <c r="O474" s="51"/>
      <c r="P474" s="51"/>
      <c r="Q474" s="37" t="str">
        <f t="shared" ca="1" si="0"/>
        <v/>
      </c>
      <c r="R474" s="52"/>
      <c r="S474" s="52"/>
      <c r="T474" s="52"/>
      <c r="U474" s="61"/>
      <c r="V474" s="62"/>
      <c r="W474" s="63"/>
      <c r="X474" s="64"/>
      <c r="Y474" s="18"/>
      <c r="Z474" s="18"/>
      <c r="AA474" s="18"/>
      <c r="AB474" s="18"/>
    </row>
    <row r="475" spans="1:28">
      <c r="A475" s="51">
        <v>474</v>
      </c>
      <c r="B475" s="52"/>
      <c r="C475" s="61"/>
      <c r="D475" s="51"/>
      <c r="E475" s="51" t="s">
        <v>1578</v>
      </c>
      <c r="F475" s="55" t="s">
        <v>1579</v>
      </c>
      <c r="G475" s="56"/>
      <c r="H475" s="57"/>
      <c r="I475" s="51"/>
      <c r="J475" s="51">
        <f>1.1*1000</f>
        <v>1100</v>
      </c>
      <c r="K475" s="58">
        <v>1.1099537037037038E-2</v>
      </c>
      <c r="L475" s="59" t="s">
        <v>1162</v>
      </c>
      <c r="M475" s="51"/>
      <c r="N475" s="51"/>
      <c r="O475" s="51"/>
      <c r="P475" s="51"/>
      <c r="Q475" s="37" t="str">
        <f t="shared" ca="1" si="0"/>
        <v/>
      </c>
      <c r="R475" s="52"/>
      <c r="S475" s="52"/>
      <c r="T475" s="52"/>
      <c r="U475" s="61"/>
      <c r="V475" s="62"/>
      <c r="W475" s="63"/>
      <c r="X475" s="64"/>
      <c r="Y475" s="18"/>
      <c r="Z475" s="18"/>
      <c r="AA475" s="18"/>
      <c r="AB475" s="18"/>
    </row>
    <row r="476" spans="1:28">
      <c r="A476" s="51">
        <v>475</v>
      </c>
      <c r="B476" s="52"/>
      <c r="C476" s="61"/>
      <c r="D476" s="51"/>
      <c r="E476" s="51" t="s">
        <v>1580</v>
      </c>
      <c r="F476" s="55" t="s">
        <v>1581</v>
      </c>
      <c r="G476" s="56"/>
      <c r="H476" s="57"/>
      <c r="I476" s="51"/>
      <c r="J476" s="51">
        <f>179</f>
        <v>179</v>
      </c>
      <c r="K476" s="58">
        <v>2.2222222222222222E-3</v>
      </c>
      <c r="L476" s="59" t="s">
        <v>1162</v>
      </c>
      <c r="M476" s="51"/>
      <c r="N476" s="51"/>
      <c r="O476" s="51"/>
      <c r="P476" s="51"/>
      <c r="Q476" s="37" t="str">
        <f t="shared" ca="1" si="0"/>
        <v/>
      </c>
      <c r="R476" s="52"/>
      <c r="S476" s="52"/>
      <c r="T476" s="52"/>
      <c r="U476" s="61"/>
      <c r="V476" s="62"/>
      <c r="W476" s="63"/>
      <c r="X476" s="64"/>
      <c r="Y476" s="18"/>
      <c r="Z476" s="18"/>
      <c r="AA476" s="18"/>
      <c r="AB476" s="18"/>
    </row>
    <row r="477" spans="1:28">
      <c r="A477" s="51">
        <v>476</v>
      </c>
      <c r="B477" s="52"/>
      <c r="C477" s="61"/>
      <c r="D477" s="51"/>
      <c r="E477" s="51" t="s">
        <v>1582</v>
      </c>
      <c r="F477" s="55" t="s">
        <v>1583</v>
      </c>
      <c r="G477" s="56"/>
      <c r="H477" s="57"/>
      <c r="I477" s="51"/>
      <c r="J477" s="51">
        <f>961</f>
        <v>961</v>
      </c>
      <c r="K477" s="58">
        <v>5.6249999999999989E-3</v>
      </c>
      <c r="L477" s="59" t="s">
        <v>1162</v>
      </c>
      <c r="M477" s="51"/>
      <c r="N477" s="51"/>
      <c r="O477" s="51"/>
      <c r="P477" s="51"/>
      <c r="Q477" s="37" t="str">
        <f t="shared" ca="1" si="0"/>
        <v/>
      </c>
      <c r="R477" s="52"/>
      <c r="S477" s="52"/>
      <c r="T477" s="52"/>
      <c r="U477" s="61"/>
      <c r="V477" s="62"/>
      <c r="W477" s="63"/>
      <c r="X477" s="64"/>
      <c r="Y477" s="18"/>
      <c r="Z477" s="18"/>
      <c r="AA477" s="18"/>
      <c r="AB477" s="18"/>
    </row>
    <row r="478" spans="1:28">
      <c r="A478" s="51">
        <v>477</v>
      </c>
      <c r="B478" s="52"/>
      <c r="C478" s="61"/>
      <c r="D478" s="51"/>
      <c r="E478" s="51" t="s">
        <v>1584</v>
      </c>
      <c r="F478" s="55" t="s">
        <v>1585</v>
      </c>
      <c r="G478" s="56"/>
      <c r="H478" s="57"/>
      <c r="I478" s="51"/>
      <c r="J478" s="51">
        <f>144</f>
        <v>144</v>
      </c>
      <c r="K478" s="58">
        <v>1.8287037037037037E-3</v>
      </c>
      <c r="L478" s="59" t="s">
        <v>1162</v>
      </c>
      <c r="M478" s="51"/>
      <c r="N478" s="51"/>
      <c r="O478" s="51"/>
      <c r="P478" s="51"/>
      <c r="Q478" s="37" t="str">
        <f t="shared" ca="1" si="0"/>
        <v/>
      </c>
      <c r="R478" s="52"/>
      <c r="S478" s="52"/>
      <c r="T478" s="52"/>
      <c r="U478" s="61"/>
      <c r="V478" s="62"/>
      <c r="W478" s="63"/>
      <c r="X478" s="64"/>
      <c r="Y478" s="18"/>
      <c r="Z478" s="18"/>
      <c r="AA478" s="18"/>
      <c r="AB478" s="18"/>
    </row>
    <row r="479" spans="1:28">
      <c r="A479" s="51">
        <v>478</v>
      </c>
      <c r="B479" s="52"/>
      <c r="C479" s="61"/>
      <c r="D479" s="51"/>
      <c r="E479" s="51" t="s">
        <v>1586</v>
      </c>
      <c r="F479" s="55" t="s">
        <v>1587</v>
      </c>
      <c r="G479" s="56"/>
      <c r="H479" s="57"/>
      <c r="I479" s="51"/>
      <c r="J479" s="51">
        <f>2.4*1000</f>
        <v>2400</v>
      </c>
      <c r="K479" s="58">
        <v>2.6620370370370374E-3</v>
      </c>
      <c r="L479" s="59" t="s">
        <v>1162</v>
      </c>
      <c r="M479" s="51"/>
      <c r="N479" s="51"/>
      <c r="O479" s="51"/>
      <c r="P479" s="51"/>
      <c r="Q479" s="37" t="str">
        <f t="shared" ca="1" si="0"/>
        <v/>
      </c>
      <c r="R479" s="52"/>
      <c r="S479" s="52"/>
      <c r="T479" s="52"/>
      <c r="U479" s="61"/>
      <c r="V479" s="62"/>
      <c r="W479" s="63"/>
      <c r="X479" s="64"/>
      <c r="Y479" s="18"/>
      <c r="Z479" s="18"/>
      <c r="AA479" s="18"/>
      <c r="AB479" s="18"/>
    </row>
    <row r="480" spans="1:28">
      <c r="A480" s="51">
        <v>479</v>
      </c>
      <c r="B480" s="52"/>
      <c r="C480" s="61"/>
      <c r="D480" s="51"/>
      <c r="E480" s="51" t="s">
        <v>1588</v>
      </c>
      <c r="F480" s="55" t="s">
        <v>1589</v>
      </c>
      <c r="G480" s="56"/>
      <c r="H480" s="57"/>
      <c r="I480" s="51"/>
      <c r="J480" s="51">
        <f>2.8*1000</f>
        <v>2800</v>
      </c>
      <c r="K480" s="58">
        <v>4.9884259259259265E-3</v>
      </c>
      <c r="L480" s="59" t="s">
        <v>1162</v>
      </c>
      <c r="M480" s="51"/>
      <c r="N480" s="51"/>
      <c r="O480" s="51"/>
      <c r="P480" s="51"/>
      <c r="Q480" s="37" t="str">
        <f t="shared" ca="1" si="0"/>
        <v/>
      </c>
      <c r="R480" s="52"/>
      <c r="S480" s="52"/>
      <c r="T480" s="52"/>
      <c r="U480" s="61"/>
      <c r="V480" s="62"/>
      <c r="W480" s="63"/>
      <c r="X480" s="64"/>
      <c r="Y480" s="18"/>
      <c r="Z480" s="18"/>
      <c r="AA480" s="18"/>
      <c r="AB480" s="18"/>
    </row>
    <row r="481" spans="1:28">
      <c r="A481" s="51">
        <v>480</v>
      </c>
      <c r="B481" s="52"/>
      <c r="C481" s="61"/>
      <c r="D481" s="51"/>
      <c r="E481" s="51" t="s">
        <v>1590</v>
      </c>
      <c r="F481" s="55" t="s">
        <v>1591</v>
      </c>
      <c r="G481" s="56"/>
      <c r="H481" s="57"/>
      <c r="I481" s="51"/>
      <c r="J481" s="51">
        <f>14*1000</f>
        <v>14000</v>
      </c>
      <c r="K481" s="58">
        <v>8.5416666666666679E-3</v>
      </c>
      <c r="L481" s="59" t="s">
        <v>1162</v>
      </c>
      <c r="M481" s="51"/>
      <c r="N481" s="51"/>
      <c r="O481" s="51"/>
      <c r="P481" s="51"/>
      <c r="Q481" s="37" t="str">
        <f t="shared" ca="1" si="0"/>
        <v/>
      </c>
      <c r="R481" s="52"/>
      <c r="S481" s="52"/>
      <c r="T481" s="52"/>
      <c r="U481" s="61"/>
      <c r="V481" s="62"/>
      <c r="W481" s="63"/>
      <c r="X481" s="64"/>
      <c r="Y481" s="18"/>
      <c r="Z481" s="18"/>
      <c r="AA481" s="18"/>
      <c r="AB481" s="18"/>
    </row>
    <row r="482" spans="1:28">
      <c r="A482" s="51">
        <v>481</v>
      </c>
      <c r="B482" s="69" t="s">
        <v>131</v>
      </c>
      <c r="C482" s="61"/>
      <c r="D482" s="51"/>
      <c r="E482" s="51" t="s">
        <v>1592</v>
      </c>
      <c r="F482" s="55" t="s">
        <v>1593</v>
      </c>
      <c r="G482" s="56"/>
      <c r="H482" s="57"/>
      <c r="I482" s="51"/>
      <c r="J482" s="51">
        <f>3.5*1000</f>
        <v>3500</v>
      </c>
      <c r="K482" s="58">
        <v>7.4884259259259262E-3</v>
      </c>
      <c r="L482" s="59" t="s">
        <v>1162</v>
      </c>
      <c r="M482" s="51"/>
      <c r="N482" s="51"/>
      <c r="O482" s="51"/>
      <c r="P482" s="51"/>
      <c r="Q482" s="37" t="str">
        <f t="shared" ca="1" si="0"/>
        <v/>
      </c>
      <c r="R482" s="52"/>
      <c r="S482" s="52"/>
      <c r="T482" s="52"/>
      <c r="U482" s="61"/>
      <c r="V482" s="62"/>
      <c r="W482" s="63"/>
      <c r="X482" s="64"/>
      <c r="Y482" s="18"/>
      <c r="Z482" s="18"/>
      <c r="AA482" s="18"/>
      <c r="AB482" s="18"/>
    </row>
    <row r="483" spans="1:28">
      <c r="A483" s="51">
        <v>482</v>
      </c>
      <c r="B483" s="52"/>
      <c r="C483" s="61"/>
      <c r="D483" s="51"/>
      <c r="E483" s="51" t="s">
        <v>1594</v>
      </c>
      <c r="F483" s="55" t="s">
        <v>1596</v>
      </c>
      <c r="G483" s="56"/>
      <c r="H483" s="57"/>
      <c r="I483" s="51"/>
      <c r="J483" s="51">
        <f>118</f>
        <v>118</v>
      </c>
      <c r="K483" s="58">
        <v>1.0763888888888889E-3</v>
      </c>
      <c r="L483" s="59" t="s">
        <v>1162</v>
      </c>
      <c r="M483" s="51"/>
      <c r="N483" s="51"/>
      <c r="O483" s="51"/>
      <c r="P483" s="51"/>
      <c r="Q483" s="37" t="str">
        <f t="shared" ca="1" si="0"/>
        <v/>
      </c>
      <c r="R483" s="52"/>
      <c r="S483" s="52"/>
      <c r="T483" s="52"/>
      <c r="U483" s="61"/>
      <c r="V483" s="62"/>
      <c r="W483" s="63"/>
      <c r="X483" s="64"/>
      <c r="Y483" s="18"/>
      <c r="Z483" s="18"/>
      <c r="AA483" s="18"/>
      <c r="AB483" s="18"/>
    </row>
    <row r="484" spans="1:28">
      <c r="A484" s="51">
        <v>483</v>
      </c>
      <c r="B484" s="52"/>
      <c r="C484" s="61"/>
      <c r="D484" s="51"/>
      <c r="E484" s="51" t="s">
        <v>1597</v>
      </c>
      <c r="F484" s="55" t="s">
        <v>1598</v>
      </c>
      <c r="G484" s="56"/>
      <c r="H484" s="57"/>
      <c r="I484" s="51"/>
      <c r="J484" s="51">
        <f>317</f>
        <v>317</v>
      </c>
      <c r="K484" s="58">
        <v>1.6319444444444445E-3</v>
      </c>
      <c r="L484" s="59" t="s">
        <v>1162</v>
      </c>
      <c r="M484" s="51"/>
      <c r="N484" s="51"/>
      <c r="O484" s="51"/>
      <c r="P484" s="51"/>
      <c r="Q484" s="37" t="str">
        <f t="shared" ca="1" si="0"/>
        <v/>
      </c>
      <c r="R484" s="52"/>
      <c r="S484" s="52"/>
      <c r="T484" s="52"/>
      <c r="U484" s="61"/>
      <c r="V484" s="62"/>
      <c r="W484" s="63"/>
      <c r="X484" s="64"/>
      <c r="Y484" s="18"/>
      <c r="Z484" s="18"/>
      <c r="AA484" s="18"/>
      <c r="AB484" s="18"/>
    </row>
    <row r="485" spans="1:28">
      <c r="A485" s="51">
        <v>484</v>
      </c>
      <c r="B485" s="52"/>
      <c r="C485" s="61"/>
      <c r="D485" s="51"/>
      <c r="E485" s="51" t="s">
        <v>1599</v>
      </c>
      <c r="F485" s="55" t="s">
        <v>1600</v>
      </c>
      <c r="G485" s="56"/>
      <c r="H485" s="57"/>
      <c r="I485" s="51"/>
      <c r="J485" s="51">
        <f>3.2*1000</f>
        <v>3200</v>
      </c>
      <c r="K485" s="58">
        <v>4.3749999999999995E-3</v>
      </c>
      <c r="L485" s="59" t="s">
        <v>1162</v>
      </c>
      <c r="M485" s="51"/>
      <c r="N485" s="51"/>
      <c r="O485" s="51"/>
      <c r="P485" s="51"/>
      <c r="Q485" s="37" t="str">
        <f t="shared" ca="1" si="0"/>
        <v/>
      </c>
      <c r="R485" s="52"/>
      <c r="S485" s="52"/>
      <c r="T485" s="52"/>
      <c r="U485" s="61"/>
      <c r="V485" s="62"/>
      <c r="W485" s="63"/>
      <c r="X485" s="64"/>
      <c r="Y485" s="18"/>
      <c r="Z485" s="18"/>
      <c r="AA485" s="18"/>
      <c r="AB485" s="18"/>
    </row>
    <row r="486" spans="1:28">
      <c r="A486" s="51">
        <v>485</v>
      </c>
      <c r="B486" s="52"/>
      <c r="C486" s="61"/>
      <c r="D486" s="51"/>
      <c r="E486" s="51" t="s">
        <v>1601</v>
      </c>
      <c r="F486" s="55" t="s">
        <v>1602</v>
      </c>
      <c r="G486" s="56"/>
      <c r="H486" s="57"/>
      <c r="I486" s="51"/>
      <c r="J486" s="51">
        <f>219</f>
        <v>219</v>
      </c>
      <c r="K486" s="58">
        <v>2.1296296296296298E-3</v>
      </c>
      <c r="L486" s="59" t="s">
        <v>1162</v>
      </c>
      <c r="M486" s="51"/>
      <c r="N486" s="51"/>
      <c r="O486" s="51"/>
      <c r="P486" s="51"/>
      <c r="Q486" s="37" t="str">
        <f t="shared" ca="1" si="0"/>
        <v/>
      </c>
      <c r="R486" s="52"/>
      <c r="S486" s="52"/>
      <c r="T486" s="52"/>
      <c r="U486" s="61"/>
      <c r="V486" s="62"/>
      <c r="W486" s="63"/>
      <c r="X486" s="64"/>
      <c r="Y486" s="18"/>
      <c r="Z486" s="18"/>
      <c r="AA486" s="18"/>
      <c r="AB486" s="18"/>
    </row>
    <row r="487" spans="1:28">
      <c r="A487" s="51">
        <v>486</v>
      </c>
      <c r="B487" s="69"/>
      <c r="C487" s="61"/>
      <c r="D487" s="51"/>
      <c r="E487" s="51" t="s">
        <v>1603</v>
      </c>
      <c r="F487" s="55" t="s">
        <v>1604</v>
      </c>
      <c r="G487" s="56"/>
      <c r="H487" s="57"/>
      <c r="I487" s="51"/>
      <c r="J487" s="51">
        <f>22*1000</f>
        <v>22000</v>
      </c>
      <c r="K487" s="58">
        <v>7.2453703703703708E-3</v>
      </c>
      <c r="L487" s="59" t="s">
        <v>1162</v>
      </c>
      <c r="M487" s="51"/>
      <c r="N487" s="51"/>
      <c r="O487" s="51"/>
      <c r="P487" s="51"/>
      <c r="Q487" s="37" t="str">
        <f t="shared" ca="1" si="0"/>
        <v/>
      </c>
      <c r="R487" s="52"/>
      <c r="S487" s="52"/>
      <c r="T487" s="52"/>
      <c r="U487" s="61"/>
      <c r="V487" s="62"/>
      <c r="W487" s="63"/>
      <c r="X487" s="64"/>
      <c r="Y487" s="18"/>
      <c r="Z487" s="18"/>
      <c r="AA487" s="18"/>
      <c r="AB487" s="18"/>
    </row>
    <row r="488" spans="1:28">
      <c r="A488" s="51">
        <v>487</v>
      </c>
      <c r="B488" s="52"/>
      <c r="C488" s="61"/>
      <c r="D488" s="51"/>
      <c r="E488" s="51" t="s">
        <v>1605</v>
      </c>
      <c r="F488" s="55" t="s">
        <v>1606</v>
      </c>
      <c r="G488" s="56"/>
      <c r="H488" s="57"/>
      <c r="I488" s="51"/>
      <c r="J488" s="51">
        <f>743</f>
        <v>743</v>
      </c>
      <c r="K488" s="58">
        <v>2.1527777777777778E-3</v>
      </c>
      <c r="L488" s="59" t="s">
        <v>1162</v>
      </c>
      <c r="M488" s="51"/>
      <c r="N488" s="51"/>
      <c r="O488" s="51"/>
      <c r="P488" s="51"/>
      <c r="Q488" s="37" t="str">
        <f t="shared" ca="1" si="0"/>
        <v/>
      </c>
      <c r="R488" s="52"/>
      <c r="S488" s="52"/>
      <c r="T488" s="52"/>
      <c r="U488" s="61"/>
      <c r="V488" s="62"/>
      <c r="W488" s="63"/>
      <c r="X488" s="64"/>
      <c r="Y488" s="18"/>
      <c r="Z488" s="18"/>
      <c r="AA488" s="18"/>
      <c r="AB488" s="18"/>
    </row>
    <row r="489" spans="1:28">
      <c r="A489" s="51">
        <v>488</v>
      </c>
      <c r="B489" s="52"/>
      <c r="C489" s="61"/>
      <c r="D489" s="51"/>
      <c r="E489" s="51" t="s">
        <v>1607</v>
      </c>
      <c r="F489" s="55" t="s">
        <v>1608</v>
      </c>
      <c r="G489" s="56"/>
      <c r="H489" s="57"/>
      <c r="I489" s="51"/>
      <c r="J489" s="51">
        <f>408</f>
        <v>408</v>
      </c>
      <c r="K489" s="58">
        <v>1.3773148148148147E-3</v>
      </c>
      <c r="L489" s="59" t="s">
        <v>1162</v>
      </c>
      <c r="M489" s="51"/>
      <c r="N489" s="51"/>
      <c r="O489" s="51"/>
      <c r="P489" s="51"/>
      <c r="Q489" s="37" t="str">
        <f t="shared" ca="1" si="0"/>
        <v/>
      </c>
      <c r="R489" s="52"/>
      <c r="S489" s="52"/>
      <c r="T489" s="52"/>
      <c r="U489" s="61"/>
      <c r="V489" s="62"/>
      <c r="W489" s="63"/>
      <c r="X489" s="64"/>
      <c r="Y489" s="18"/>
      <c r="Z489" s="18"/>
      <c r="AA489" s="18"/>
      <c r="AB489" s="18"/>
    </row>
    <row r="490" spans="1:28">
      <c r="A490" s="51">
        <v>489</v>
      </c>
      <c r="B490" s="52"/>
      <c r="C490" s="61"/>
      <c r="D490" s="51"/>
      <c r="E490" s="51" t="s">
        <v>1609</v>
      </c>
      <c r="F490" s="55" t="s">
        <v>1610</v>
      </c>
      <c r="G490" s="56"/>
      <c r="H490" s="57"/>
      <c r="I490" s="51"/>
      <c r="J490" s="51">
        <f>1.8*1000</f>
        <v>1800</v>
      </c>
      <c r="K490" s="58">
        <v>3.2291666666666666E-3</v>
      </c>
      <c r="L490" s="59" t="s">
        <v>1162</v>
      </c>
      <c r="M490" s="51"/>
      <c r="N490" s="51"/>
      <c r="O490" s="51"/>
      <c r="P490" s="51"/>
      <c r="Q490" s="37" t="str">
        <f t="shared" ca="1" si="0"/>
        <v/>
      </c>
      <c r="R490" s="52"/>
      <c r="S490" s="52"/>
      <c r="T490" s="52"/>
      <c r="U490" s="61"/>
      <c r="V490" s="62"/>
      <c r="W490" s="63"/>
      <c r="X490" s="64"/>
      <c r="Y490" s="18"/>
      <c r="Z490" s="18"/>
      <c r="AA490" s="18"/>
      <c r="AB490" s="18"/>
    </row>
    <row r="491" spans="1:28">
      <c r="A491" s="51">
        <v>490</v>
      </c>
      <c r="B491" s="52"/>
      <c r="C491" s="61"/>
      <c r="D491" s="51"/>
      <c r="E491" s="51" t="s">
        <v>1611</v>
      </c>
      <c r="F491" s="55" t="s">
        <v>1612</v>
      </c>
      <c r="G491" s="56"/>
      <c r="H491" s="57"/>
      <c r="I491" s="51"/>
      <c r="J491" s="51">
        <f>577</f>
        <v>577</v>
      </c>
      <c r="K491" s="58">
        <v>2.0370370370370373E-3</v>
      </c>
      <c r="L491" s="59" t="s">
        <v>1162</v>
      </c>
      <c r="M491" s="51"/>
      <c r="N491" s="51"/>
      <c r="O491" s="51"/>
      <c r="P491" s="51"/>
      <c r="Q491" s="37" t="str">
        <f t="shared" ca="1" si="0"/>
        <v/>
      </c>
      <c r="R491" s="52"/>
      <c r="S491" s="52"/>
      <c r="T491" s="52"/>
      <c r="U491" s="61"/>
      <c r="V491" s="62"/>
      <c r="W491" s="63"/>
      <c r="X491" s="64"/>
      <c r="Y491" s="18"/>
      <c r="Z491" s="18"/>
      <c r="AA491" s="18"/>
      <c r="AB491" s="18"/>
    </row>
    <row r="492" spans="1:28">
      <c r="A492" s="51">
        <v>491</v>
      </c>
      <c r="B492" s="52"/>
      <c r="C492" s="61"/>
      <c r="D492" s="51"/>
      <c r="E492" s="51" t="s">
        <v>1613</v>
      </c>
      <c r="F492" s="55" t="s">
        <v>1614</v>
      </c>
      <c r="G492" s="56"/>
      <c r="H492" s="57"/>
      <c r="I492" s="51"/>
      <c r="J492" s="51">
        <f>1.1*1000</f>
        <v>1100</v>
      </c>
      <c r="K492" s="58">
        <v>2.8587962962962963E-3</v>
      </c>
      <c r="L492" s="59" t="s">
        <v>1162</v>
      </c>
      <c r="M492" s="51"/>
      <c r="N492" s="51"/>
      <c r="O492" s="51"/>
      <c r="P492" s="51"/>
      <c r="Q492" s="37" t="str">
        <f t="shared" ca="1" si="0"/>
        <v/>
      </c>
      <c r="R492" s="52"/>
      <c r="S492" s="52"/>
      <c r="T492" s="52"/>
      <c r="U492" s="61"/>
      <c r="V492" s="62"/>
      <c r="W492" s="63"/>
      <c r="X492" s="64"/>
      <c r="Y492" s="18"/>
      <c r="Z492" s="18"/>
      <c r="AA492" s="18"/>
      <c r="AB492" s="18"/>
    </row>
    <row r="493" spans="1:28">
      <c r="A493" s="51">
        <v>492</v>
      </c>
      <c r="B493" s="52"/>
      <c r="C493" s="61"/>
      <c r="D493" s="51"/>
      <c r="E493" s="51" t="s">
        <v>1615</v>
      </c>
      <c r="F493" s="55" t="s">
        <v>1616</v>
      </c>
      <c r="G493" s="56"/>
      <c r="H493" s="57"/>
      <c r="I493" s="51"/>
      <c r="J493" s="51">
        <f>225</f>
        <v>225</v>
      </c>
      <c r="K493" s="58">
        <v>1.6319444444444445E-3</v>
      </c>
      <c r="L493" s="59" t="s">
        <v>1162</v>
      </c>
      <c r="M493" s="51"/>
      <c r="N493" s="51"/>
      <c r="O493" s="51"/>
      <c r="P493" s="51"/>
      <c r="Q493" s="37" t="str">
        <f t="shared" ca="1" si="0"/>
        <v/>
      </c>
      <c r="R493" s="52"/>
      <c r="S493" s="52"/>
      <c r="T493" s="52"/>
      <c r="U493" s="61"/>
      <c r="V493" s="62"/>
      <c r="W493" s="63"/>
      <c r="X493" s="64"/>
      <c r="Y493" s="18"/>
      <c r="Z493" s="18"/>
      <c r="AA493" s="18"/>
      <c r="AB493" s="18"/>
    </row>
    <row r="494" spans="1:28">
      <c r="A494" s="51">
        <v>493</v>
      </c>
      <c r="B494" s="52"/>
      <c r="C494" s="61"/>
      <c r="D494" s="51"/>
      <c r="E494" s="51" t="s">
        <v>1617</v>
      </c>
      <c r="F494" s="55" t="s">
        <v>1618</v>
      </c>
      <c r="G494" s="56"/>
      <c r="H494" s="57"/>
      <c r="I494" s="51"/>
      <c r="J494" s="51">
        <f>208</f>
        <v>208</v>
      </c>
      <c r="K494" s="58">
        <v>2.8472222222222219E-3</v>
      </c>
      <c r="L494" s="59" t="s">
        <v>1162</v>
      </c>
      <c r="M494" s="51"/>
      <c r="N494" s="51"/>
      <c r="O494" s="51"/>
      <c r="P494" s="51"/>
      <c r="Q494" s="37" t="str">
        <f t="shared" ca="1" si="0"/>
        <v/>
      </c>
      <c r="R494" s="52"/>
      <c r="S494" s="52"/>
      <c r="T494" s="52"/>
      <c r="U494" s="61"/>
      <c r="V494" s="62"/>
      <c r="W494" s="63"/>
      <c r="X494" s="64"/>
      <c r="Y494" s="18"/>
      <c r="Z494" s="18"/>
      <c r="AA494" s="18"/>
      <c r="AB494" s="18"/>
    </row>
    <row r="495" spans="1:28">
      <c r="A495" s="51">
        <v>494</v>
      </c>
      <c r="B495" s="52"/>
      <c r="C495" s="61"/>
      <c r="D495" s="51"/>
      <c r="E495" s="51" t="s">
        <v>1619</v>
      </c>
      <c r="F495" s="55" t="s">
        <v>1620</v>
      </c>
      <c r="G495" s="56"/>
      <c r="H495" s="57"/>
      <c r="I495" s="51"/>
      <c r="J495" s="51">
        <f>422</f>
        <v>422</v>
      </c>
      <c r="K495" s="58">
        <v>2.685185185185185E-3</v>
      </c>
      <c r="L495" s="59" t="s">
        <v>1162</v>
      </c>
      <c r="M495" s="51"/>
      <c r="N495" s="51"/>
      <c r="O495" s="51"/>
      <c r="P495" s="51"/>
      <c r="Q495" s="37" t="str">
        <f t="shared" ca="1" si="0"/>
        <v/>
      </c>
      <c r="R495" s="52"/>
      <c r="S495" s="52"/>
      <c r="T495" s="52"/>
      <c r="U495" s="61"/>
      <c r="V495" s="62"/>
      <c r="W495" s="63"/>
      <c r="X495" s="64"/>
      <c r="Y495" s="18"/>
      <c r="Z495" s="18"/>
      <c r="AA495" s="18"/>
      <c r="AB495" s="18"/>
    </row>
    <row r="496" spans="1:28">
      <c r="A496" s="51">
        <v>495</v>
      </c>
      <c r="B496" s="52"/>
      <c r="C496" s="61"/>
      <c r="D496" s="51"/>
      <c r="E496" s="51" t="s">
        <v>1621</v>
      </c>
      <c r="F496" s="55" t="s">
        <v>1622</v>
      </c>
      <c r="G496" s="56"/>
      <c r="H496" s="57"/>
      <c r="I496" s="51"/>
      <c r="J496" s="51">
        <f>6.6*1000</f>
        <v>6600</v>
      </c>
      <c r="K496" s="58">
        <v>5.5092592592592589E-3</v>
      </c>
      <c r="L496" s="59" t="s">
        <v>1162</v>
      </c>
      <c r="M496" s="51"/>
      <c r="N496" s="51"/>
      <c r="O496" s="51"/>
      <c r="P496" s="51"/>
      <c r="Q496" s="37" t="str">
        <f t="shared" ca="1" si="0"/>
        <v/>
      </c>
      <c r="R496" s="52"/>
      <c r="S496" s="52"/>
      <c r="T496" s="52"/>
      <c r="U496" s="61"/>
      <c r="V496" s="62"/>
      <c r="W496" s="63"/>
      <c r="X496" s="64"/>
      <c r="Y496" s="18"/>
      <c r="Z496" s="18"/>
      <c r="AA496" s="18"/>
      <c r="AB496" s="18"/>
    </row>
    <row r="497" spans="1:28">
      <c r="A497" s="51">
        <v>496</v>
      </c>
      <c r="B497" s="52"/>
      <c r="C497" s="61"/>
      <c r="D497" s="51"/>
      <c r="E497" s="51" t="s">
        <v>1623</v>
      </c>
      <c r="F497" s="55" t="s">
        <v>1624</v>
      </c>
      <c r="G497" s="56"/>
      <c r="H497" s="57"/>
      <c r="I497" s="51"/>
      <c r="J497" s="51">
        <f>1*1000</f>
        <v>1000</v>
      </c>
      <c r="K497" s="58">
        <v>4.0393518518518521E-3</v>
      </c>
      <c r="L497" s="59" t="s">
        <v>1162</v>
      </c>
      <c r="M497" s="51"/>
      <c r="N497" s="51"/>
      <c r="O497" s="51"/>
      <c r="P497" s="51"/>
      <c r="Q497" s="37" t="str">
        <f t="shared" ca="1" si="0"/>
        <v/>
      </c>
      <c r="R497" s="52"/>
      <c r="S497" s="52"/>
      <c r="T497" s="52"/>
      <c r="U497" s="61"/>
      <c r="V497" s="62"/>
      <c r="W497" s="63"/>
      <c r="X497" s="64"/>
      <c r="Y497" s="18"/>
      <c r="Z497" s="18"/>
      <c r="AA497" s="18"/>
      <c r="AB497" s="18"/>
    </row>
    <row r="498" spans="1:28">
      <c r="A498" s="51">
        <v>497</v>
      </c>
      <c r="B498" s="52"/>
      <c r="C498" s="61"/>
      <c r="D498" s="51"/>
      <c r="E498" s="51" t="s">
        <v>1625</v>
      </c>
      <c r="F498" s="55" t="s">
        <v>1626</v>
      </c>
      <c r="G498" s="56"/>
      <c r="H498" s="57"/>
      <c r="I498" s="51"/>
      <c r="J498" s="51">
        <f>2.1*1000</f>
        <v>2100</v>
      </c>
      <c r="K498" s="58">
        <v>4.3946759259259255E-2</v>
      </c>
      <c r="L498" s="59" t="s">
        <v>1162</v>
      </c>
      <c r="M498" s="51"/>
      <c r="N498" s="51"/>
      <c r="O498" s="51"/>
      <c r="P498" s="51"/>
      <c r="Q498" s="37" t="str">
        <f t="shared" ca="1" si="0"/>
        <v/>
      </c>
      <c r="R498" s="52"/>
      <c r="S498" s="52"/>
      <c r="T498" s="52"/>
      <c r="U498" s="61"/>
      <c r="V498" s="62"/>
      <c r="W498" s="63"/>
      <c r="X498" s="64"/>
      <c r="Y498" s="18"/>
      <c r="Z498" s="18"/>
      <c r="AA498" s="18"/>
      <c r="AB498" s="18"/>
    </row>
    <row r="499" spans="1:28">
      <c r="A499" s="51">
        <v>498</v>
      </c>
      <c r="B499" s="52"/>
      <c r="C499" s="61"/>
      <c r="D499" s="51"/>
      <c r="E499" s="51" t="s">
        <v>1627</v>
      </c>
      <c r="F499" s="55" t="s">
        <v>1628</v>
      </c>
      <c r="G499" s="56"/>
      <c r="H499" s="57"/>
      <c r="I499" s="51"/>
      <c r="J499" s="51">
        <f>1.9*1000</f>
        <v>1900</v>
      </c>
      <c r="K499" s="58">
        <v>2.5046296296296299E-2</v>
      </c>
      <c r="L499" s="59" t="s">
        <v>1162</v>
      </c>
      <c r="M499" s="51"/>
      <c r="N499" s="51"/>
      <c r="O499" s="51"/>
      <c r="P499" s="51"/>
      <c r="Q499" s="37" t="str">
        <f t="shared" ca="1" si="0"/>
        <v/>
      </c>
      <c r="R499" s="52"/>
      <c r="S499" s="52"/>
      <c r="T499" s="52"/>
      <c r="U499" s="61"/>
      <c r="V499" s="62"/>
      <c r="W499" s="63"/>
      <c r="X499" s="64"/>
      <c r="Y499" s="18"/>
      <c r="Z499" s="18"/>
      <c r="AA499" s="18"/>
      <c r="AB499" s="18"/>
    </row>
    <row r="500" spans="1:28">
      <c r="A500" s="51">
        <v>499</v>
      </c>
      <c r="B500" s="52"/>
      <c r="C500" s="61"/>
      <c r="D500" s="51"/>
      <c r="E500" s="51" t="s">
        <v>1629</v>
      </c>
      <c r="F500" s="55" t="s">
        <v>1630</v>
      </c>
      <c r="G500" s="56"/>
      <c r="H500" s="57"/>
      <c r="I500" s="51"/>
      <c r="J500" s="51">
        <f>234</f>
        <v>234</v>
      </c>
      <c r="K500" s="58">
        <v>1.3888888888888889E-3</v>
      </c>
      <c r="L500" s="59" t="s">
        <v>1162</v>
      </c>
      <c r="M500" s="51"/>
      <c r="N500" s="51"/>
      <c r="O500" s="51"/>
      <c r="P500" s="51"/>
      <c r="Q500" s="37" t="str">
        <f t="shared" ca="1" si="0"/>
        <v/>
      </c>
      <c r="R500" s="52"/>
      <c r="S500" s="52"/>
      <c r="T500" s="52"/>
      <c r="U500" s="61"/>
      <c r="V500" s="62"/>
      <c r="W500" s="63"/>
      <c r="X500" s="64"/>
      <c r="Y500" s="18"/>
      <c r="Z500" s="18"/>
      <c r="AA500" s="18"/>
      <c r="AB500" s="18"/>
    </row>
    <row r="501" spans="1:28">
      <c r="A501" s="51">
        <v>500</v>
      </c>
      <c r="B501" s="52"/>
      <c r="C501" s="61"/>
      <c r="D501" s="51"/>
      <c r="E501" s="51" t="s">
        <v>1631</v>
      </c>
      <c r="F501" s="55" t="s">
        <v>1632</v>
      </c>
      <c r="G501" s="56"/>
      <c r="H501" s="57"/>
      <c r="I501" s="51"/>
      <c r="J501" s="51">
        <f>205</f>
        <v>205</v>
      </c>
      <c r="K501" s="58">
        <v>2.1874999999999998E-3</v>
      </c>
      <c r="L501" s="59" t="s">
        <v>1162</v>
      </c>
      <c r="M501" s="51"/>
      <c r="N501" s="51"/>
      <c r="O501" s="51"/>
      <c r="P501" s="51"/>
      <c r="Q501" s="37" t="str">
        <f t="shared" ca="1" si="0"/>
        <v/>
      </c>
      <c r="R501" s="52"/>
      <c r="S501" s="52"/>
      <c r="T501" s="52"/>
      <c r="U501" s="61"/>
      <c r="V501" s="62"/>
      <c r="W501" s="63"/>
      <c r="X501" s="64"/>
      <c r="Y501" s="18"/>
      <c r="Z501" s="18"/>
      <c r="AA501" s="18"/>
      <c r="AB501" s="18"/>
    </row>
    <row r="502" spans="1:28">
      <c r="A502" s="51">
        <v>501</v>
      </c>
      <c r="B502" s="52"/>
      <c r="C502" s="61"/>
      <c r="D502" s="51"/>
      <c r="E502" s="51" t="s">
        <v>1633</v>
      </c>
      <c r="F502" s="55" t="s">
        <v>1634</v>
      </c>
      <c r="G502" s="56"/>
      <c r="H502" s="57"/>
      <c r="I502" s="51"/>
      <c r="J502" s="51">
        <f>3*1000</f>
        <v>3000</v>
      </c>
      <c r="K502" s="58">
        <v>2.3958333333333331E-2</v>
      </c>
      <c r="L502" s="59" t="s">
        <v>1162</v>
      </c>
      <c r="M502" s="51"/>
      <c r="N502" s="51"/>
      <c r="O502" s="51"/>
      <c r="P502" s="51"/>
      <c r="Q502" s="37" t="str">
        <f t="shared" ca="1" si="0"/>
        <v/>
      </c>
      <c r="R502" s="52"/>
      <c r="S502" s="52"/>
      <c r="T502" s="52"/>
      <c r="U502" s="61"/>
      <c r="V502" s="62"/>
      <c r="W502" s="63"/>
      <c r="X502" s="64"/>
      <c r="Y502" s="18"/>
      <c r="Z502" s="18"/>
      <c r="AA502" s="18"/>
      <c r="AB502" s="18"/>
    </row>
    <row r="503" spans="1:28">
      <c r="A503" s="51">
        <v>502</v>
      </c>
      <c r="B503" s="52"/>
      <c r="C503" s="61"/>
      <c r="D503" s="51"/>
      <c r="E503" s="51" t="s">
        <v>1635</v>
      </c>
      <c r="F503" s="55" t="s">
        <v>1636</v>
      </c>
      <c r="G503" s="56"/>
      <c r="H503" s="57"/>
      <c r="I503" s="51"/>
      <c r="J503" s="51">
        <f>2.4*1000</f>
        <v>2400</v>
      </c>
      <c r="K503" s="58">
        <v>3.7743055555555557E-2</v>
      </c>
      <c r="L503" s="59" t="s">
        <v>1162</v>
      </c>
      <c r="M503" s="51"/>
      <c r="N503" s="51"/>
      <c r="O503" s="51"/>
      <c r="P503" s="51"/>
      <c r="Q503" s="37" t="str">
        <f t="shared" ca="1" si="0"/>
        <v/>
      </c>
      <c r="R503" s="52"/>
      <c r="S503" s="52"/>
      <c r="T503" s="52"/>
      <c r="U503" s="61"/>
      <c r="V503" s="62"/>
      <c r="W503" s="63"/>
      <c r="X503" s="64"/>
      <c r="Y503" s="18"/>
      <c r="Z503" s="18"/>
      <c r="AA503" s="18"/>
      <c r="AB503" s="18"/>
    </row>
    <row r="504" spans="1:28">
      <c r="A504" s="51">
        <v>503</v>
      </c>
      <c r="B504" s="52"/>
      <c r="C504" s="61"/>
      <c r="D504" s="51"/>
      <c r="E504" s="51" t="s">
        <v>1637</v>
      </c>
      <c r="F504" s="55" t="s">
        <v>1638</v>
      </c>
      <c r="G504" s="56"/>
      <c r="H504" s="57"/>
      <c r="I504" s="51"/>
      <c r="J504" s="51">
        <f>2.8*1000</f>
        <v>2800</v>
      </c>
      <c r="K504" s="58">
        <v>1.8460648148148146E-2</v>
      </c>
      <c r="L504" s="59" t="s">
        <v>1162</v>
      </c>
      <c r="M504" s="51"/>
      <c r="N504" s="51"/>
      <c r="O504" s="51"/>
      <c r="P504" s="51"/>
      <c r="Q504" s="37" t="str">
        <f t="shared" ca="1" si="0"/>
        <v/>
      </c>
      <c r="R504" s="52"/>
      <c r="S504" s="52"/>
      <c r="T504" s="52"/>
      <c r="U504" s="61"/>
      <c r="V504" s="62"/>
      <c r="W504" s="63"/>
      <c r="X504" s="64"/>
      <c r="Y504" s="18"/>
      <c r="Z504" s="18"/>
      <c r="AA504" s="18"/>
      <c r="AB504" s="18"/>
    </row>
    <row r="505" spans="1:28">
      <c r="A505" s="51">
        <v>504</v>
      </c>
      <c r="B505" s="52"/>
      <c r="C505" s="61"/>
      <c r="D505" s="51"/>
      <c r="E505" s="51" t="s">
        <v>1639</v>
      </c>
      <c r="F505" s="55" t="s">
        <v>1640</v>
      </c>
      <c r="G505" s="56"/>
      <c r="H505" s="57"/>
      <c r="I505" s="51"/>
      <c r="J505" s="51">
        <f>3.5*1000</f>
        <v>3500</v>
      </c>
      <c r="K505" s="58">
        <v>3.8206018518518521E-2</v>
      </c>
      <c r="L505" s="59" t="s">
        <v>1162</v>
      </c>
      <c r="M505" s="51"/>
      <c r="N505" s="51"/>
      <c r="O505" s="51"/>
      <c r="P505" s="51"/>
      <c r="Q505" s="37" t="str">
        <f t="shared" ca="1" si="0"/>
        <v/>
      </c>
      <c r="R505" s="52"/>
      <c r="S505" s="52"/>
      <c r="T505" s="52"/>
      <c r="U505" s="61"/>
      <c r="V505" s="62"/>
      <c r="W505" s="63"/>
      <c r="X505" s="64"/>
      <c r="Y505" s="18"/>
      <c r="Z505" s="18"/>
      <c r="AA505" s="18"/>
      <c r="AB505" s="18"/>
    </row>
    <row r="506" spans="1:28">
      <c r="A506" s="51">
        <v>505</v>
      </c>
      <c r="B506" s="52"/>
      <c r="C506" s="61"/>
      <c r="D506" s="51"/>
      <c r="E506" s="51" t="s">
        <v>1641</v>
      </c>
      <c r="F506" s="55" t="s">
        <v>1642</v>
      </c>
      <c r="G506" s="56"/>
      <c r="H506" s="57"/>
      <c r="I506" s="51"/>
      <c r="J506" s="51">
        <f>1*1000</f>
        <v>1000</v>
      </c>
      <c r="K506" s="58">
        <v>1.1562499999999998E-2</v>
      </c>
      <c r="L506" s="59" t="s">
        <v>1162</v>
      </c>
      <c r="M506" s="51"/>
      <c r="N506" s="51"/>
      <c r="O506" s="51"/>
      <c r="P506" s="51"/>
      <c r="Q506" s="37" t="str">
        <f t="shared" ca="1" si="0"/>
        <v/>
      </c>
      <c r="R506" s="52"/>
      <c r="S506" s="52"/>
      <c r="T506" s="52"/>
      <c r="U506" s="61"/>
      <c r="V506" s="62"/>
      <c r="W506" s="63"/>
      <c r="X506" s="64"/>
      <c r="Y506" s="18"/>
      <c r="Z506" s="18"/>
      <c r="AA506" s="18"/>
      <c r="AB506" s="18"/>
    </row>
    <row r="507" spans="1:28">
      <c r="A507" s="51">
        <v>506</v>
      </c>
      <c r="B507" s="52"/>
      <c r="C507" s="61"/>
      <c r="D507" s="51"/>
      <c r="E507" s="51" t="s">
        <v>1643</v>
      </c>
      <c r="F507" s="55" t="s">
        <v>1644</v>
      </c>
      <c r="G507" s="56"/>
      <c r="H507" s="57"/>
      <c r="I507" s="51"/>
      <c r="J507" s="51">
        <f>4.3*1000</f>
        <v>4300</v>
      </c>
      <c r="K507" s="58">
        <v>2.4340277777777777E-2</v>
      </c>
      <c r="L507" s="59" t="s">
        <v>1162</v>
      </c>
      <c r="M507" s="51"/>
      <c r="N507" s="51"/>
      <c r="O507" s="51"/>
      <c r="P507" s="51"/>
      <c r="Q507" s="37" t="str">
        <f t="shared" ca="1" si="0"/>
        <v/>
      </c>
      <c r="R507" s="52"/>
      <c r="S507" s="52"/>
      <c r="T507" s="52"/>
      <c r="U507" s="61"/>
      <c r="V507" s="62"/>
      <c r="W507" s="63"/>
      <c r="X507" s="64"/>
      <c r="Y507" s="18"/>
      <c r="Z507" s="18"/>
      <c r="AA507" s="18"/>
      <c r="AB507" s="18"/>
    </row>
    <row r="508" spans="1:28">
      <c r="A508" s="51">
        <v>507</v>
      </c>
      <c r="B508" s="52"/>
      <c r="C508" s="61"/>
      <c r="D508" s="51"/>
      <c r="E508" s="51" t="s">
        <v>1645</v>
      </c>
      <c r="F508" s="55" t="s">
        <v>1646</v>
      </c>
      <c r="G508" s="56"/>
      <c r="H508" s="57"/>
      <c r="I508" s="51"/>
      <c r="J508" s="51">
        <f>2.6*1000</f>
        <v>2600</v>
      </c>
      <c r="K508" s="58">
        <v>1.3182870370370371E-2</v>
      </c>
      <c r="L508" s="59" t="s">
        <v>1162</v>
      </c>
      <c r="M508" s="51"/>
      <c r="N508" s="51"/>
      <c r="O508" s="51"/>
      <c r="P508" s="51"/>
      <c r="Q508" s="37" t="str">
        <f t="shared" ca="1" si="0"/>
        <v/>
      </c>
      <c r="R508" s="52"/>
      <c r="S508" s="52"/>
      <c r="T508" s="52"/>
      <c r="U508" s="61"/>
      <c r="V508" s="62"/>
      <c r="W508" s="63"/>
      <c r="X508" s="64"/>
      <c r="Y508" s="18"/>
      <c r="Z508" s="18"/>
      <c r="AA508" s="18"/>
      <c r="AB508" s="18"/>
    </row>
    <row r="509" spans="1:28">
      <c r="A509" s="51">
        <v>508</v>
      </c>
      <c r="B509" s="52"/>
      <c r="C509" s="61"/>
      <c r="D509" s="51"/>
      <c r="E509" s="51" t="s">
        <v>1647</v>
      </c>
      <c r="F509" s="55" t="s">
        <v>1648</v>
      </c>
      <c r="G509" s="56"/>
      <c r="H509" s="57"/>
      <c r="I509" s="51"/>
      <c r="J509" s="51">
        <f>473</f>
        <v>473</v>
      </c>
      <c r="K509" s="58">
        <v>6.5277777777777782E-3</v>
      </c>
      <c r="L509" s="59" t="s">
        <v>1162</v>
      </c>
      <c r="M509" s="51"/>
      <c r="N509" s="51"/>
      <c r="O509" s="51"/>
      <c r="P509" s="51"/>
      <c r="Q509" s="37" t="str">
        <f t="shared" ca="1" si="0"/>
        <v/>
      </c>
      <c r="R509" s="52"/>
      <c r="S509" s="52"/>
      <c r="T509" s="52"/>
      <c r="U509" s="61"/>
      <c r="V509" s="62"/>
      <c r="W509" s="63"/>
      <c r="X509" s="64"/>
      <c r="Y509" s="18"/>
      <c r="Z509" s="18"/>
      <c r="AA509" s="18"/>
      <c r="AB509" s="18"/>
    </row>
    <row r="510" spans="1:28">
      <c r="A510" s="51">
        <v>509</v>
      </c>
      <c r="B510" s="52"/>
      <c r="C510" s="61"/>
      <c r="D510" s="51"/>
      <c r="E510" s="51" t="s">
        <v>1649</v>
      </c>
      <c r="F510" s="55" t="s">
        <v>1650</v>
      </c>
      <c r="G510" s="56"/>
      <c r="H510" s="57"/>
      <c r="I510" s="51"/>
      <c r="J510" s="51">
        <f>974</f>
        <v>974</v>
      </c>
      <c r="K510" s="58">
        <v>2.673611111111111E-3</v>
      </c>
      <c r="L510" s="59" t="s">
        <v>1162</v>
      </c>
      <c r="M510" s="51"/>
      <c r="N510" s="51"/>
      <c r="O510" s="51"/>
      <c r="P510" s="51"/>
      <c r="Q510" s="37" t="str">
        <f t="shared" ca="1" si="0"/>
        <v/>
      </c>
      <c r="R510" s="52"/>
      <c r="S510" s="52"/>
      <c r="T510" s="52"/>
      <c r="U510" s="61"/>
      <c r="V510" s="62"/>
      <c r="W510" s="63"/>
      <c r="X510" s="64"/>
      <c r="Y510" s="18"/>
      <c r="Z510" s="18"/>
      <c r="AA510" s="18"/>
      <c r="AB510" s="18"/>
    </row>
    <row r="511" spans="1:28">
      <c r="A511" s="51">
        <v>510</v>
      </c>
      <c r="B511" s="52"/>
      <c r="C511" s="61"/>
      <c r="D511" s="51"/>
      <c r="E511" s="51" t="s">
        <v>1651</v>
      </c>
      <c r="F511" s="55" t="s">
        <v>1652</v>
      </c>
      <c r="G511" s="56"/>
      <c r="H511" s="57"/>
      <c r="I511" s="51"/>
      <c r="J511" s="51">
        <f>437</f>
        <v>437</v>
      </c>
      <c r="K511" s="58">
        <v>1.3194444444444443E-3</v>
      </c>
      <c r="L511" s="59" t="s">
        <v>1162</v>
      </c>
      <c r="M511" s="51"/>
      <c r="N511" s="51"/>
      <c r="O511" s="51"/>
      <c r="P511" s="51"/>
      <c r="Q511" s="37" t="str">
        <f t="shared" ca="1" si="0"/>
        <v/>
      </c>
      <c r="R511" s="52"/>
      <c r="S511" s="52"/>
      <c r="T511" s="52"/>
      <c r="U511" s="61"/>
      <c r="V511" s="62"/>
      <c r="W511" s="63"/>
      <c r="X511" s="64"/>
      <c r="Y511" s="18"/>
      <c r="Z511" s="18"/>
      <c r="AA511" s="18"/>
      <c r="AB511" s="18"/>
    </row>
    <row r="512" spans="1:28">
      <c r="A512" s="51">
        <v>511</v>
      </c>
      <c r="B512" s="52"/>
      <c r="C512" s="61"/>
      <c r="D512" s="51"/>
      <c r="E512" s="51" t="s">
        <v>1653</v>
      </c>
      <c r="F512" s="55" t="s">
        <v>1654</v>
      </c>
      <c r="G512" s="56"/>
      <c r="H512" s="57"/>
      <c r="I512" s="51"/>
      <c r="J512" s="51">
        <f>274</f>
        <v>274</v>
      </c>
      <c r="K512" s="58">
        <v>1.4351851851851854E-3</v>
      </c>
      <c r="L512" s="59" t="s">
        <v>1162</v>
      </c>
      <c r="M512" s="51"/>
      <c r="N512" s="51"/>
      <c r="O512" s="51"/>
      <c r="P512" s="51"/>
      <c r="Q512" s="37" t="str">
        <f t="shared" ca="1" si="0"/>
        <v/>
      </c>
      <c r="R512" s="52"/>
      <c r="S512" s="52"/>
      <c r="T512" s="52"/>
      <c r="U512" s="61"/>
      <c r="V512" s="62"/>
      <c r="W512" s="63"/>
      <c r="X512" s="64"/>
      <c r="Y512" s="18"/>
      <c r="Z512" s="18"/>
      <c r="AA512" s="18"/>
      <c r="AB512" s="18"/>
    </row>
    <row r="513" spans="1:28">
      <c r="A513" s="51">
        <v>512</v>
      </c>
      <c r="B513" s="52"/>
      <c r="C513" s="61"/>
      <c r="D513" s="51"/>
      <c r="E513" s="51" t="s">
        <v>1655</v>
      </c>
      <c r="F513" s="55" t="s">
        <v>1656</v>
      </c>
      <c r="G513" s="56"/>
      <c r="H513" s="57"/>
      <c r="I513" s="51"/>
      <c r="J513" s="51">
        <f>4.2*1000</f>
        <v>4200</v>
      </c>
      <c r="K513" s="58">
        <v>1.3888888888888889E-3</v>
      </c>
      <c r="L513" s="59" t="s">
        <v>1162</v>
      </c>
      <c r="M513" s="51"/>
      <c r="N513" s="51"/>
      <c r="O513" s="51"/>
      <c r="P513" s="51"/>
      <c r="Q513" s="37" t="str">
        <f t="shared" ca="1" si="0"/>
        <v/>
      </c>
      <c r="R513" s="52"/>
      <c r="S513" s="52"/>
      <c r="T513" s="52"/>
      <c r="U513" s="61"/>
      <c r="V513" s="62"/>
      <c r="W513" s="63"/>
      <c r="X513" s="64"/>
      <c r="Y513" s="18"/>
      <c r="Z513" s="18"/>
      <c r="AA513" s="18"/>
      <c r="AB513" s="18"/>
    </row>
    <row r="514" spans="1:28">
      <c r="A514" s="51">
        <v>513</v>
      </c>
      <c r="B514" s="52"/>
      <c r="C514" s="61"/>
      <c r="D514" s="51"/>
      <c r="E514" s="51" t="s">
        <v>1657</v>
      </c>
      <c r="F514" s="55" t="s">
        <v>1658</v>
      </c>
      <c r="G514" s="56"/>
      <c r="H514" s="57"/>
      <c r="I514" s="51"/>
      <c r="J514" s="51">
        <f>366</f>
        <v>366</v>
      </c>
      <c r="K514" s="58">
        <v>2.1874999999999998E-3</v>
      </c>
      <c r="L514" s="59" t="s">
        <v>1162</v>
      </c>
      <c r="M514" s="51"/>
      <c r="N514" s="51"/>
      <c r="O514" s="51"/>
      <c r="P514" s="51"/>
      <c r="Q514" s="37" t="str">
        <f t="shared" ca="1" si="0"/>
        <v/>
      </c>
      <c r="R514" s="52"/>
      <c r="S514" s="52"/>
      <c r="T514" s="52"/>
      <c r="U514" s="61"/>
      <c r="V514" s="62"/>
      <c r="W514" s="63"/>
      <c r="X514" s="64"/>
      <c r="Y514" s="18"/>
      <c r="Z514" s="18"/>
      <c r="AA514" s="18"/>
      <c r="AB514" s="18"/>
    </row>
    <row r="515" spans="1:28">
      <c r="A515" s="51">
        <v>514</v>
      </c>
      <c r="B515" s="52"/>
      <c r="C515" s="61"/>
      <c r="D515" s="51"/>
      <c r="E515" s="51" t="s">
        <v>1659</v>
      </c>
      <c r="F515" s="55" t="s">
        <v>1660</v>
      </c>
      <c r="G515" s="56"/>
      <c r="H515" s="57"/>
      <c r="I515" s="51"/>
      <c r="J515" s="51">
        <f>277</f>
        <v>277</v>
      </c>
      <c r="K515" s="58">
        <v>2.4189814814814816E-3</v>
      </c>
      <c r="L515" s="59" t="s">
        <v>1162</v>
      </c>
      <c r="M515" s="51"/>
      <c r="N515" s="51"/>
      <c r="O515" s="51"/>
      <c r="P515" s="51"/>
      <c r="Q515" s="37" t="str">
        <f t="shared" ca="1" si="0"/>
        <v/>
      </c>
      <c r="R515" s="52"/>
      <c r="S515" s="52"/>
      <c r="T515" s="52"/>
      <c r="U515" s="61"/>
      <c r="V515" s="62"/>
      <c r="W515" s="63"/>
      <c r="X515" s="64"/>
      <c r="Y515" s="18"/>
      <c r="Z515" s="18"/>
      <c r="AA515" s="18"/>
      <c r="AB515" s="18"/>
    </row>
    <row r="516" spans="1:28">
      <c r="A516" s="51">
        <v>515</v>
      </c>
      <c r="B516" s="52"/>
      <c r="C516" s="61"/>
      <c r="D516" s="51"/>
      <c r="E516" s="51" t="s">
        <v>1661</v>
      </c>
      <c r="F516" s="55" t="s">
        <v>1662</v>
      </c>
      <c r="G516" s="56"/>
      <c r="H516" s="57"/>
      <c r="I516" s="51"/>
      <c r="J516" s="51">
        <f>667</f>
        <v>667</v>
      </c>
      <c r="K516" s="58">
        <v>1.5277777777777779E-3</v>
      </c>
      <c r="L516" s="59" t="s">
        <v>1162</v>
      </c>
      <c r="M516" s="51"/>
      <c r="N516" s="51"/>
      <c r="O516" s="51"/>
      <c r="P516" s="51"/>
      <c r="Q516" s="37" t="str">
        <f t="shared" ca="1" si="0"/>
        <v/>
      </c>
      <c r="R516" s="52"/>
      <c r="S516" s="52"/>
      <c r="T516" s="52"/>
      <c r="U516" s="61"/>
      <c r="V516" s="62"/>
      <c r="W516" s="63"/>
      <c r="X516" s="64"/>
      <c r="Y516" s="18"/>
      <c r="Z516" s="18"/>
      <c r="AA516" s="18"/>
      <c r="AB516" s="18"/>
    </row>
    <row r="517" spans="1:28">
      <c r="A517" s="51">
        <v>516</v>
      </c>
      <c r="B517" s="52"/>
      <c r="C517" s="61"/>
      <c r="D517" s="51"/>
      <c r="E517" s="51" t="s">
        <v>1663</v>
      </c>
      <c r="F517" s="55" t="s">
        <v>1664</v>
      </c>
      <c r="G517" s="56"/>
      <c r="H517" s="57"/>
      <c r="I517" s="51"/>
      <c r="J517" s="51">
        <f>434</f>
        <v>434</v>
      </c>
      <c r="K517" s="58">
        <v>1.3425925925925925E-3</v>
      </c>
      <c r="L517" s="59" t="s">
        <v>1162</v>
      </c>
      <c r="M517" s="51"/>
      <c r="N517" s="51"/>
      <c r="O517" s="51"/>
      <c r="P517" s="51"/>
      <c r="Q517" s="37" t="str">
        <f t="shared" ca="1" si="0"/>
        <v/>
      </c>
      <c r="R517" s="52"/>
      <c r="S517" s="52"/>
      <c r="T517" s="52"/>
      <c r="U517" s="61"/>
      <c r="V517" s="62"/>
      <c r="W517" s="63"/>
      <c r="X517" s="64"/>
      <c r="Y517" s="18"/>
      <c r="Z517" s="18"/>
      <c r="AA517" s="18"/>
      <c r="AB517" s="18"/>
    </row>
    <row r="518" spans="1:28">
      <c r="A518" s="51">
        <v>517</v>
      </c>
      <c r="B518" s="52"/>
      <c r="C518" s="61"/>
      <c r="D518" s="51"/>
      <c r="E518" s="51" t="s">
        <v>1665</v>
      </c>
      <c r="F518" s="55" t="s">
        <v>1666</v>
      </c>
      <c r="G518" s="56"/>
      <c r="H518" s="57"/>
      <c r="I518" s="51"/>
      <c r="J518" s="51">
        <f>556</f>
        <v>556</v>
      </c>
      <c r="K518" s="58">
        <v>2.0370370370370373E-3</v>
      </c>
      <c r="L518" s="59" t="s">
        <v>1162</v>
      </c>
      <c r="M518" s="51"/>
      <c r="N518" s="51"/>
      <c r="O518" s="51"/>
      <c r="P518" s="51"/>
      <c r="Q518" s="37" t="str">
        <f t="shared" ca="1" si="0"/>
        <v/>
      </c>
      <c r="R518" s="52"/>
      <c r="S518" s="52"/>
      <c r="T518" s="52"/>
      <c r="U518" s="61"/>
      <c r="V518" s="62"/>
      <c r="W518" s="63"/>
      <c r="X518" s="64"/>
      <c r="Y518" s="18"/>
      <c r="Z518" s="18"/>
      <c r="AA518" s="18"/>
      <c r="AB518" s="18"/>
    </row>
    <row r="519" spans="1:28">
      <c r="A519" s="51">
        <v>518</v>
      </c>
      <c r="B519" s="52"/>
      <c r="C519" s="61"/>
      <c r="D519" s="51"/>
      <c r="E519" s="51" t="s">
        <v>1667</v>
      </c>
      <c r="F519" s="55" t="s">
        <v>1668</v>
      </c>
      <c r="G519" s="56"/>
      <c r="H519" s="57"/>
      <c r="I519" s="51"/>
      <c r="J519" s="51">
        <f>449</f>
        <v>449</v>
      </c>
      <c r="K519" s="58">
        <v>3.5648148148148154E-3</v>
      </c>
      <c r="L519" s="59" t="s">
        <v>1162</v>
      </c>
      <c r="M519" s="51"/>
      <c r="N519" s="51"/>
      <c r="O519" s="51"/>
      <c r="P519" s="51"/>
      <c r="Q519" s="37" t="str">
        <f t="shared" ca="1" si="0"/>
        <v/>
      </c>
      <c r="R519" s="52"/>
      <c r="S519" s="52"/>
      <c r="T519" s="52"/>
      <c r="U519" s="61"/>
      <c r="V519" s="62"/>
      <c r="W519" s="63"/>
      <c r="X519" s="64"/>
      <c r="Y519" s="18"/>
      <c r="Z519" s="18"/>
      <c r="AA519" s="18"/>
      <c r="AB519" s="18"/>
    </row>
    <row r="520" spans="1:28">
      <c r="A520" s="51">
        <v>519</v>
      </c>
      <c r="B520" s="52"/>
      <c r="C520" s="61"/>
      <c r="D520" s="51"/>
      <c r="E520" s="51" t="s">
        <v>1669</v>
      </c>
      <c r="F520" s="55" t="s">
        <v>1670</v>
      </c>
      <c r="G520" s="56"/>
      <c r="H520" s="57"/>
      <c r="I520" s="51"/>
      <c r="J520" s="51">
        <f>813</f>
        <v>813</v>
      </c>
      <c r="K520" s="58">
        <v>3.1365740740740742E-3</v>
      </c>
      <c r="L520" s="59" t="s">
        <v>1162</v>
      </c>
      <c r="M520" s="51"/>
      <c r="N520" s="51"/>
      <c r="O520" s="51"/>
      <c r="P520" s="51"/>
      <c r="Q520" s="37" t="str">
        <f t="shared" ca="1" si="0"/>
        <v/>
      </c>
      <c r="R520" s="52"/>
      <c r="S520" s="52"/>
      <c r="T520" s="52"/>
      <c r="U520" s="61"/>
      <c r="V520" s="62"/>
      <c r="W520" s="63"/>
      <c r="X520" s="64"/>
      <c r="Y520" s="18"/>
      <c r="Z520" s="18"/>
      <c r="AA520" s="18"/>
      <c r="AB520" s="18"/>
    </row>
    <row r="521" spans="1:28">
      <c r="A521" s="51">
        <v>520</v>
      </c>
      <c r="B521" s="52"/>
      <c r="C521" s="61"/>
      <c r="D521" s="51"/>
      <c r="E521" s="51" t="s">
        <v>1671</v>
      </c>
      <c r="F521" s="55" t="s">
        <v>1672</v>
      </c>
      <c r="G521" s="56"/>
      <c r="H521" s="57"/>
      <c r="I521" s="51"/>
      <c r="J521" s="51">
        <f>1.4*1000</f>
        <v>1400</v>
      </c>
      <c r="K521" s="58">
        <v>3.4606481481481485E-3</v>
      </c>
      <c r="L521" s="59" t="s">
        <v>1162</v>
      </c>
      <c r="M521" s="51"/>
      <c r="N521" s="51"/>
      <c r="O521" s="51"/>
      <c r="P521" s="51"/>
      <c r="Q521" s="37" t="str">
        <f t="shared" ca="1" si="0"/>
        <v/>
      </c>
      <c r="R521" s="52"/>
      <c r="S521" s="52"/>
      <c r="T521" s="52"/>
      <c r="U521" s="61"/>
      <c r="V521" s="62"/>
      <c r="W521" s="63"/>
      <c r="X521" s="64"/>
      <c r="Y521" s="18"/>
      <c r="Z521" s="18"/>
      <c r="AA521" s="18"/>
      <c r="AB521" s="18"/>
    </row>
    <row r="522" spans="1:28">
      <c r="A522" s="51">
        <v>521</v>
      </c>
      <c r="B522" s="52"/>
      <c r="C522" s="61"/>
      <c r="D522" s="51"/>
      <c r="E522" s="51" t="s">
        <v>1673</v>
      </c>
      <c r="F522" s="55" t="s">
        <v>1674</v>
      </c>
      <c r="G522" s="56"/>
      <c r="H522" s="57"/>
      <c r="I522" s="51"/>
      <c r="J522" s="51">
        <f>343</f>
        <v>343</v>
      </c>
      <c r="K522" s="58">
        <v>7.175925925925927E-4</v>
      </c>
      <c r="L522" s="59" t="s">
        <v>1162</v>
      </c>
      <c r="M522" s="51"/>
      <c r="N522" s="51"/>
      <c r="O522" s="51"/>
      <c r="P522" s="51"/>
      <c r="Q522" s="37" t="str">
        <f t="shared" ca="1" si="0"/>
        <v/>
      </c>
      <c r="R522" s="52"/>
      <c r="S522" s="52"/>
      <c r="T522" s="52"/>
      <c r="U522" s="61"/>
      <c r="V522" s="62"/>
      <c r="W522" s="63"/>
      <c r="X522" s="64"/>
      <c r="Y522" s="18"/>
      <c r="Z522" s="18"/>
      <c r="AA522" s="18"/>
      <c r="AB522" s="18"/>
    </row>
    <row r="523" spans="1:28">
      <c r="A523" s="51">
        <v>522</v>
      </c>
      <c r="B523" s="52"/>
      <c r="C523" s="61"/>
      <c r="D523" s="51"/>
      <c r="E523" s="51" t="s">
        <v>1675</v>
      </c>
      <c r="F523" s="55" t="s">
        <v>1676</v>
      </c>
      <c r="G523" s="56"/>
      <c r="H523" s="57"/>
      <c r="I523" s="51"/>
      <c r="J523" s="51">
        <f>736</f>
        <v>736</v>
      </c>
      <c r="K523" s="58">
        <v>2.4189814814814816E-3</v>
      </c>
      <c r="L523" s="59" t="s">
        <v>1162</v>
      </c>
      <c r="M523" s="51"/>
      <c r="N523" s="51"/>
      <c r="O523" s="51"/>
      <c r="P523" s="51"/>
      <c r="Q523" s="37" t="str">
        <f t="shared" ca="1" si="0"/>
        <v/>
      </c>
      <c r="R523" s="52"/>
      <c r="S523" s="52"/>
      <c r="T523" s="52"/>
      <c r="U523" s="61"/>
      <c r="V523" s="62"/>
      <c r="W523" s="63"/>
      <c r="X523" s="64"/>
      <c r="Y523" s="18"/>
      <c r="Z523" s="18"/>
      <c r="AA523" s="18"/>
      <c r="AB523" s="18"/>
    </row>
    <row r="524" spans="1:28">
      <c r="A524" s="51">
        <v>523</v>
      </c>
      <c r="B524" s="52"/>
      <c r="C524" s="61"/>
      <c r="D524" s="51"/>
      <c r="E524" s="51" t="s">
        <v>1677</v>
      </c>
      <c r="F524" s="55" t="s">
        <v>1678</v>
      </c>
      <c r="G524" s="56"/>
      <c r="H524" s="57"/>
      <c r="I524" s="51"/>
      <c r="J524" s="51">
        <f>2.3*1000</f>
        <v>2300</v>
      </c>
      <c r="K524" s="58">
        <v>2.4189814814814816E-3</v>
      </c>
      <c r="L524" s="59" t="s">
        <v>1162</v>
      </c>
      <c r="M524" s="51"/>
      <c r="N524" s="51"/>
      <c r="O524" s="51"/>
      <c r="P524" s="51"/>
      <c r="Q524" s="37" t="str">
        <f t="shared" ca="1" si="0"/>
        <v/>
      </c>
      <c r="R524" s="52"/>
      <c r="S524" s="52"/>
      <c r="T524" s="52"/>
      <c r="U524" s="61"/>
      <c r="V524" s="62"/>
      <c r="W524" s="63"/>
      <c r="X524" s="64"/>
      <c r="Y524" s="18"/>
      <c r="Z524" s="18"/>
      <c r="AA524" s="18"/>
      <c r="AB524" s="18"/>
    </row>
    <row r="525" spans="1:28">
      <c r="A525" s="51">
        <v>524</v>
      </c>
      <c r="B525" s="52"/>
      <c r="C525" s="61"/>
      <c r="D525" s="51"/>
      <c r="E525" s="51" t="s">
        <v>1679</v>
      </c>
      <c r="F525" s="55" t="s">
        <v>1680</v>
      </c>
      <c r="G525" s="56"/>
      <c r="H525" s="57"/>
      <c r="I525" s="51"/>
      <c r="J525" s="51">
        <f>4.8*1000</f>
        <v>4800</v>
      </c>
      <c r="K525" s="58">
        <v>3.1805555555555552E-2</v>
      </c>
      <c r="L525" s="59" t="s">
        <v>1162</v>
      </c>
      <c r="M525" s="51"/>
      <c r="N525" s="51"/>
      <c r="O525" s="51"/>
      <c r="P525" s="51"/>
      <c r="Q525" s="37" t="str">
        <f t="shared" ca="1" si="0"/>
        <v/>
      </c>
      <c r="R525" s="52"/>
      <c r="S525" s="52"/>
      <c r="T525" s="52"/>
      <c r="U525" s="61"/>
      <c r="V525" s="62"/>
      <c r="W525" s="63"/>
      <c r="X525" s="64"/>
      <c r="Y525" s="18"/>
      <c r="Z525" s="18"/>
      <c r="AA525" s="18"/>
      <c r="AB525" s="18"/>
    </row>
    <row r="526" spans="1:28">
      <c r="A526" s="51">
        <v>525</v>
      </c>
      <c r="B526" s="52"/>
      <c r="C526" s="61"/>
      <c r="D526" s="51"/>
      <c r="E526" s="51" t="s">
        <v>1681</v>
      </c>
      <c r="F526" s="55" t="s">
        <v>1682</v>
      </c>
      <c r="G526" s="56"/>
      <c r="H526" s="57"/>
      <c r="I526" s="51"/>
      <c r="J526" s="51">
        <f>2*1000</f>
        <v>2000</v>
      </c>
      <c r="K526" s="58">
        <v>1.9733796296296298E-2</v>
      </c>
      <c r="L526" s="59" t="s">
        <v>1162</v>
      </c>
      <c r="M526" s="51"/>
      <c r="N526" s="51"/>
      <c r="O526" s="51"/>
      <c r="P526" s="51"/>
      <c r="Q526" s="37" t="str">
        <f t="shared" ca="1" si="0"/>
        <v/>
      </c>
      <c r="R526" s="52"/>
      <c r="S526" s="52"/>
      <c r="T526" s="52"/>
      <c r="U526" s="61"/>
      <c r="V526" s="62"/>
      <c r="W526" s="63"/>
      <c r="X526" s="64"/>
      <c r="Y526" s="18"/>
      <c r="Z526" s="18"/>
      <c r="AA526" s="18"/>
      <c r="AB526" s="18"/>
    </row>
    <row r="527" spans="1:28">
      <c r="A527" s="51">
        <v>526</v>
      </c>
      <c r="B527" s="52"/>
      <c r="C527" s="61"/>
      <c r="D527" s="51"/>
      <c r="E527" s="51" t="s">
        <v>1683</v>
      </c>
      <c r="F527" s="55" t="s">
        <v>1684</v>
      </c>
      <c r="G527" s="56"/>
      <c r="H527" s="57"/>
      <c r="I527" s="51"/>
      <c r="J527" s="51">
        <f>1.9*1000</f>
        <v>1900</v>
      </c>
      <c r="K527" s="58">
        <v>5.162037037037037E-3</v>
      </c>
      <c r="L527" s="59" t="s">
        <v>1162</v>
      </c>
      <c r="M527" s="51"/>
      <c r="N527" s="51"/>
      <c r="O527" s="51"/>
      <c r="P527" s="51"/>
      <c r="Q527" s="37" t="str">
        <f t="shared" ca="1" si="0"/>
        <v/>
      </c>
      <c r="R527" s="52"/>
      <c r="S527" s="52"/>
      <c r="T527" s="52"/>
      <c r="U527" s="61"/>
      <c r="V527" s="62"/>
      <c r="W527" s="63"/>
      <c r="X527" s="64"/>
      <c r="Y527" s="18"/>
      <c r="Z527" s="18"/>
      <c r="AA527" s="18"/>
      <c r="AB527" s="18"/>
    </row>
    <row r="528" spans="1:28">
      <c r="A528" s="51">
        <v>527</v>
      </c>
      <c r="B528" s="52"/>
      <c r="C528" s="61"/>
      <c r="D528" s="51"/>
      <c r="E528" s="51" t="s">
        <v>1685</v>
      </c>
      <c r="F528" s="55" t="s">
        <v>1686</v>
      </c>
      <c r="G528" s="56"/>
      <c r="H528" s="57"/>
      <c r="I528" s="51"/>
      <c r="J528" s="51">
        <f>1.4*1000</f>
        <v>1400</v>
      </c>
      <c r="K528" s="58">
        <v>1.7071759259259259E-2</v>
      </c>
      <c r="L528" s="59" t="s">
        <v>1162</v>
      </c>
      <c r="M528" s="51"/>
      <c r="N528" s="51"/>
      <c r="O528" s="51"/>
      <c r="P528" s="51"/>
      <c r="Q528" s="37" t="str">
        <f t="shared" ca="1" si="0"/>
        <v/>
      </c>
      <c r="R528" s="52"/>
      <c r="S528" s="52"/>
      <c r="T528" s="52"/>
      <c r="U528" s="61"/>
      <c r="V528" s="62"/>
      <c r="W528" s="63"/>
      <c r="X528" s="64"/>
      <c r="Y528" s="18"/>
      <c r="Z528" s="18"/>
      <c r="AA528" s="18"/>
      <c r="AB528" s="18"/>
    </row>
    <row r="529" spans="1:28">
      <c r="A529" s="51">
        <v>528</v>
      </c>
      <c r="B529" s="52"/>
      <c r="C529" s="61"/>
      <c r="D529" s="51"/>
      <c r="E529" s="51" t="s">
        <v>1687</v>
      </c>
      <c r="F529" s="55" t="s">
        <v>1688</v>
      </c>
      <c r="G529" s="56"/>
      <c r="H529" s="57"/>
      <c r="I529" s="51"/>
      <c r="J529" s="51">
        <f>1*1000</f>
        <v>1000</v>
      </c>
      <c r="K529" s="58">
        <v>1.5960648148148151E-2</v>
      </c>
      <c r="L529" s="59" t="s">
        <v>1162</v>
      </c>
      <c r="M529" s="51"/>
      <c r="N529" s="51"/>
      <c r="O529" s="51"/>
      <c r="P529" s="51"/>
      <c r="Q529" s="37" t="str">
        <f t="shared" ca="1" si="0"/>
        <v/>
      </c>
      <c r="R529" s="52"/>
      <c r="S529" s="52"/>
      <c r="T529" s="52"/>
      <c r="U529" s="61"/>
      <c r="V529" s="62"/>
      <c r="W529" s="63"/>
      <c r="X529" s="64"/>
      <c r="Y529" s="18"/>
      <c r="Z529" s="18"/>
      <c r="AA529" s="18"/>
      <c r="AB529" s="18"/>
    </row>
    <row r="530" spans="1:28">
      <c r="A530" s="51">
        <v>529</v>
      </c>
      <c r="B530" s="52"/>
      <c r="C530" s="61"/>
      <c r="D530" s="51"/>
      <c r="E530" s="51" t="s">
        <v>1689</v>
      </c>
      <c r="F530" s="55" t="s">
        <v>1690</v>
      </c>
      <c r="G530" s="56"/>
      <c r="H530" s="57"/>
      <c r="I530" s="51"/>
      <c r="J530" s="51">
        <f>4.9*1000</f>
        <v>4900</v>
      </c>
      <c r="K530" s="58">
        <v>1.8032407407407407E-2</v>
      </c>
      <c r="L530" s="59" t="s">
        <v>1162</v>
      </c>
      <c r="M530" s="51"/>
      <c r="N530" s="51"/>
      <c r="O530" s="51"/>
      <c r="P530" s="51"/>
      <c r="Q530" s="37" t="str">
        <f t="shared" ca="1" si="0"/>
        <v/>
      </c>
      <c r="R530" s="52"/>
      <c r="S530" s="52"/>
      <c r="T530" s="52"/>
      <c r="U530" s="61"/>
      <c r="V530" s="62"/>
      <c r="W530" s="63"/>
      <c r="X530" s="64"/>
      <c r="Y530" s="18"/>
      <c r="Z530" s="18"/>
      <c r="AA530" s="18"/>
      <c r="AB530" s="18"/>
    </row>
    <row r="531" spans="1:28">
      <c r="A531" s="51">
        <v>530</v>
      </c>
      <c r="B531" s="52"/>
      <c r="C531" s="61"/>
      <c r="D531" s="51"/>
      <c r="E531" s="51" t="s">
        <v>1691</v>
      </c>
      <c r="F531" s="55" t="s">
        <v>1692</v>
      </c>
      <c r="G531" s="56"/>
      <c r="H531" s="57"/>
      <c r="I531" s="51"/>
      <c r="J531" s="51">
        <f>5.2*1000</f>
        <v>5200</v>
      </c>
      <c r="K531" s="58">
        <v>1.8055555555555557E-2</v>
      </c>
      <c r="L531" s="59" t="s">
        <v>1162</v>
      </c>
      <c r="M531" s="51"/>
      <c r="N531" s="51"/>
      <c r="O531" s="51"/>
      <c r="P531" s="51"/>
      <c r="Q531" s="37" t="str">
        <f t="shared" ca="1" si="0"/>
        <v/>
      </c>
      <c r="R531" s="52"/>
      <c r="S531" s="52"/>
      <c r="T531" s="52"/>
      <c r="U531" s="61"/>
      <c r="V531" s="62"/>
      <c r="W531" s="63"/>
      <c r="X531" s="64"/>
      <c r="Y531" s="18"/>
      <c r="Z531" s="18"/>
      <c r="AA531" s="18"/>
      <c r="AB531" s="18"/>
    </row>
    <row r="532" spans="1:28">
      <c r="A532" s="51">
        <v>531</v>
      </c>
      <c r="B532" s="52"/>
      <c r="C532" s="61"/>
      <c r="D532" s="51"/>
      <c r="E532" s="51" t="s">
        <v>1693</v>
      </c>
      <c r="F532" s="55" t="s">
        <v>1694</v>
      </c>
      <c r="G532" s="56"/>
      <c r="H532" s="57"/>
      <c r="I532" s="51"/>
      <c r="J532" s="51">
        <f>9.2*1000</f>
        <v>9200</v>
      </c>
      <c r="K532" s="58">
        <v>1.8171296296296297E-2</v>
      </c>
      <c r="L532" s="59" t="s">
        <v>1162</v>
      </c>
      <c r="M532" s="51"/>
      <c r="N532" s="51"/>
      <c r="O532" s="51"/>
      <c r="P532" s="51"/>
      <c r="Q532" s="37" t="str">
        <f t="shared" ca="1" si="0"/>
        <v/>
      </c>
      <c r="R532" s="52"/>
      <c r="S532" s="52"/>
      <c r="T532" s="52"/>
      <c r="U532" s="61"/>
      <c r="V532" s="62"/>
      <c r="W532" s="63"/>
      <c r="X532" s="64"/>
      <c r="Y532" s="18"/>
      <c r="Z532" s="18"/>
      <c r="AA532" s="18"/>
      <c r="AB532" s="18"/>
    </row>
    <row r="533" spans="1:28">
      <c r="A533" s="51">
        <v>532</v>
      </c>
      <c r="B533" s="52"/>
      <c r="C533" s="61"/>
      <c r="D533" s="51"/>
      <c r="E533" s="51" t="s">
        <v>1695</v>
      </c>
      <c r="F533" s="55" t="s">
        <v>1696</v>
      </c>
      <c r="G533" s="56"/>
      <c r="H533" s="57"/>
      <c r="I533" s="51"/>
      <c r="J533" s="51">
        <f>25*1000</f>
        <v>25000</v>
      </c>
      <c r="K533" s="58">
        <v>2.0787037037037038E-2</v>
      </c>
      <c r="L533" s="59" t="s">
        <v>1162</v>
      </c>
      <c r="M533" s="51"/>
      <c r="N533" s="51"/>
      <c r="O533" s="51"/>
      <c r="P533" s="51"/>
      <c r="Q533" s="37" t="str">
        <f t="shared" ca="1" si="0"/>
        <v/>
      </c>
      <c r="R533" s="52"/>
      <c r="S533" s="52"/>
      <c r="T533" s="52"/>
      <c r="U533" s="61"/>
      <c r="V533" s="62"/>
      <c r="W533" s="63"/>
      <c r="X533" s="64"/>
      <c r="Y533" s="18"/>
      <c r="Z533" s="18"/>
      <c r="AA533" s="18"/>
      <c r="AB533" s="18"/>
    </row>
    <row r="534" spans="1:28">
      <c r="A534" s="51">
        <v>533</v>
      </c>
      <c r="B534" s="52"/>
      <c r="C534" s="61"/>
      <c r="D534" s="51"/>
      <c r="E534" s="51" t="s">
        <v>1697</v>
      </c>
      <c r="F534" s="55" t="s">
        <v>1698</v>
      </c>
      <c r="G534" s="56"/>
      <c r="H534" s="57"/>
      <c r="I534" s="51"/>
      <c r="J534" s="51">
        <f>7.4*1000</f>
        <v>7400</v>
      </c>
      <c r="K534" s="58">
        <v>2.3032407407407407E-3</v>
      </c>
      <c r="L534" s="59" t="s">
        <v>1162</v>
      </c>
      <c r="M534" s="51"/>
      <c r="N534" s="51"/>
      <c r="O534" s="51"/>
      <c r="P534" s="51"/>
      <c r="Q534" s="37" t="str">
        <f t="shared" ca="1" si="0"/>
        <v/>
      </c>
      <c r="R534" s="52"/>
      <c r="S534" s="52"/>
      <c r="T534" s="52"/>
      <c r="U534" s="61"/>
      <c r="V534" s="62"/>
      <c r="W534" s="63"/>
      <c r="X534" s="64"/>
      <c r="Y534" s="18"/>
      <c r="Z534" s="18"/>
      <c r="AA534" s="18"/>
      <c r="AB534" s="18"/>
    </row>
    <row r="535" spans="1:28">
      <c r="A535" s="51">
        <v>534</v>
      </c>
      <c r="B535" s="52"/>
      <c r="C535" s="61"/>
      <c r="D535" s="51"/>
      <c r="E535" s="51" t="s">
        <v>1699</v>
      </c>
      <c r="F535" s="55" t="s">
        <v>1700</v>
      </c>
      <c r="G535" s="56"/>
      <c r="H535" s="57"/>
      <c r="I535" s="51"/>
      <c r="J535" s="51">
        <f>716</f>
        <v>716</v>
      </c>
      <c r="K535" s="58">
        <v>2.0243055555555552E-2</v>
      </c>
      <c r="L535" s="59" t="s">
        <v>1162</v>
      </c>
      <c r="M535" s="51"/>
      <c r="N535" s="51"/>
      <c r="O535" s="51"/>
      <c r="P535" s="51"/>
      <c r="Q535" s="37" t="str">
        <f t="shared" ca="1" si="0"/>
        <v/>
      </c>
      <c r="R535" s="52"/>
      <c r="S535" s="52"/>
      <c r="T535" s="52"/>
      <c r="U535" s="61"/>
      <c r="V535" s="62"/>
      <c r="W535" s="63"/>
      <c r="X535" s="64"/>
      <c r="Y535" s="18"/>
      <c r="Z535" s="18"/>
      <c r="AA535" s="18"/>
      <c r="AB535" s="18"/>
    </row>
    <row r="536" spans="1:28">
      <c r="A536" s="51">
        <v>535</v>
      </c>
      <c r="B536" s="52"/>
      <c r="C536" s="61"/>
      <c r="D536" s="51"/>
      <c r="E536" s="51" t="s">
        <v>1701</v>
      </c>
      <c r="F536" s="55" t="s">
        <v>1702</v>
      </c>
      <c r="G536" s="56"/>
      <c r="H536" s="57"/>
      <c r="I536" s="51"/>
      <c r="J536" s="51">
        <f>629</f>
        <v>629</v>
      </c>
      <c r="K536" s="58">
        <v>2.0509259259259258E-2</v>
      </c>
      <c r="L536" s="59" t="s">
        <v>1162</v>
      </c>
      <c r="M536" s="51"/>
      <c r="N536" s="51"/>
      <c r="O536" s="51"/>
      <c r="P536" s="51"/>
      <c r="Q536" s="37" t="str">
        <f t="shared" ca="1" si="0"/>
        <v/>
      </c>
      <c r="R536" s="52"/>
      <c r="S536" s="52"/>
      <c r="T536" s="52"/>
      <c r="U536" s="61"/>
      <c r="V536" s="62"/>
      <c r="W536" s="63"/>
      <c r="X536" s="64"/>
      <c r="Y536" s="18"/>
      <c r="Z536" s="18"/>
      <c r="AA536" s="18"/>
      <c r="AB536" s="18"/>
    </row>
    <row r="537" spans="1:28">
      <c r="A537" s="51">
        <v>536</v>
      </c>
      <c r="B537" s="52"/>
      <c r="C537" s="61"/>
      <c r="D537" s="51"/>
      <c r="E537" s="51" t="s">
        <v>1703</v>
      </c>
      <c r="F537" s="55" t="s">
        <v>1704</v>
      </c>
      <c r="G537" s="56"/>
      <c r="H537" s="57"/>
      <c r="I537" s="51"/>
      <c r="J537" s="51">
        <f>858</f>
        <v>858</v>
      </c>
      <c r="K537" s="58">
        <v>2.2939814814814816E-2</v>
      </c>
      <c r="L537" s="59" t="s">
        <v>1162</v>
      </c>
      <c r="M537" s="51"/>
      <c r="N537" s="51"/>
      <c r="O537" s="51"/>
      <c r="P537" s="51"/>
      <c r="Q537" s="37" t="str">
        <f t="shared" ca="1" si="0"/>
        <v/>
      </c>
      <c r="R537" s="52"/>
      <c r="S537" s="52"/>
      <c r="T537" s="52"/>
      <c r="U537" s="61"/>
      <c r="V537" s="62"/>
      <c r="W537" s="63"/>
      <c r="X537" s="64"/>
      <c r="Y537" s="18"/>
      <c r="Z537" s="18"/>
      <c r="AA537" s="18"/>
      <c r="AB537" s="18"/>
    </row>
    <row r="538" spans="1:28">
      <c r="A538" s="51">
        <v>537</v>
      </c>
      <c r="B538" s="52"/>
      <c r="C538" s="61"/>
      <c r="D538" s="51"/>
      <c r="E538" s="51" t="s">
        <v>1705</v>
      </c>
      <c r="F538" s="55" t="s">
        <v>1706</v>
      </c>
      <c r="G538" s="56"/>
      <c r="H538" s="57"/>
      <c r="I538" s="51"/>
      <c r="J538" s="51">
        <f>1*1000</f>
        <v>1000</v>
      </c>
      <c r="K538" s="58">
        <v>2.7986111111111111E-2</v>
      </c>
      <c r="L538" s="59" t="s">
        <v>1162</v>
      </c>
      <c r="M538" s="51"/>
      <c r="N538" s="51"/>
      <c r="O538" s="51"/>
      <c r="P538" s="51"/>
      <c r="Q538" s="37" t="str">
        <f t="shared" ca="1" si="0"/>
        <v/>
      </c>
      <c r="R538" s="52"/>
      <c r="S538" s="52"/>
      <c r="T538" s="52"/>
      <c r="U538" s="61"/>
      <c r="V538" s="62"/>
      <c r="W538" s="63"/>
      <c r="X538" s="64"/>
      <c r="Y538" s="18"/>
      <c r="Z538" s="18"/>
      <c r="AA538" s="18"/>
      <c r="AB538" s="18"/>
    </row>
    <row r="539" spans="1:28">
      <c r="A539" s="51">
        <v>538</v>
      </c>
      <c r="B539" s="52"/>
      <c r="C539" s="61"/>
      <c r="D539" s="51"/>
      <c r="E539" s="51" t="s">
        <v>1707</v>
      </c>
      <c r="F539" s="55" t="s">
        <v>1708</v>
      </c>
      <c r="G539" s="56"/>
      <c r="H539" s="57"/>
      <c r="I539" s="51"/>
      <c r="J539" s="51">
        <f>2.6*1000</f>
        <v>2600</v>
      </c>
      <c r="K539" s="58">
        <v>1.5011574074074075E-2</v>
      </c>
      <c r="L539" s="59" t="s">
        <v>1162</v>
      </c>
      <c r="M539" s="51"/>
      <c r="N539" s="51"/>
      <c r="O539" s="51"/>
      <c r="P539" s="51"/>
      <c r="Q539" s="37" t="str">
        <f t="shared" ca="1" si="0"/>
        <v/>
      </c>
      <c r="R539" s="52"/>
      <c r="S539" s="52"/>
      <c r="T539" s="52"/>
      <c r="U539" s="61"/>
      <c r="V539" s="62"/>
      <c r="W539" s="63"/>
      <c r="X539" s="64"/>
      <c r="Y539" s="18"/>
      <c r="Z539" s="18"/>
      <c r="AA539" s="18"/>
      <c r="AB539" s="18"/>
    </row>
    <row r="540" spans="1:28">
      <c r="A540" s="51">
        <v>539</v>
      </c>
      <c r="B540" s="52"/>
      <c r="C540" s="61"/>
      <c r="D540" s="51"/>
      <c r="E540" s="51" t="s">
        <v>1709</v>
      </c>
      <c r="F540" s="55" t="s">
        <v>1710</v>
      </c>
      <c r="G540" s="56"/>
      <c r="H540" s="57"/>
      <c r="I540" s="51"/>
      <c r="J540" s="51">
        <f>4.6*1000</f>
        <v>4600</v>
      </c>
      <c r="K540" s="58">
        <v>2.1550925925925928E-2</v>
      </c>
      <c r="L540" s="59" t="s">
        <v>1162</v>
      </c>
      <c r="M540" s="51"/>
      <c r="N540" s="51"/>
      <c r="O540" s="51"/>
      <c r="P540" s="51"/>
      <c r="Q540" s="37" t="str">
        <f t="shared" ca="1" si="0"/>
        <v/>
      </c>
      <c r="R540" s="52"/>
      <c r="S540" s="52"/>
      <c r="T540" s="52"/>
      <c r="U540" s="61"/>
      <c r="V540" s="62"/>
      <c r="W540" s="63"/>
      <c r="X540" s="64"/>
      <c r="Y540" s="18"/>
      <c r="Z540" s="18"/>
      <c r="AA540" s="18"/>
      <c r="AB540" s="18"/>
    </row>
    <row r="541" spans="1:28">
      <c r="A541" s="51">
        <v>540</v>
      </c>
      <c r="B541" s="52"/>
      <c r="C541" s="61"/>
      <c r="D541" s="51"/>
      <c r="E541" s="51" t="s">
        <v>1711</v>
      </c>
      <c r="F541" s="55" t="s">
        <v>1712</v>
      </c>
      <c r="G541" s="56"/>
      <c r="H541" s="57"/>
      <c r="I541" s="51"/>
      <c r="J541" s="51">
        <f>1.9*1000</f>
        <v>1900</v>
      </c>
      <c r="K541" s="58">
        <v>2.1331018518518517E-2</v>
      </c>
      <c r="L541" s="59" t="s">
        <v>1162</v>
      </c>
      <c r="M541" s="51"/>
      <c r="N541" s="51"/>
      <c r="O541" s="51"/>
      <c r="P541" s="51"/>
      <c r="Q541" s="37" t="str">
        <f t="shared" ca="1" si="0"/>
        <v/>
      </c>
      <c r="R541" s="52"/>
      <c r="S541" s="52"/>
      <c r="T541" s="52"/>
      <c r="U541" s="61"/>
      <c r="V541" s="62"/>
      <c r="W541" s="63"/>
      <c r="X541" s="64"/>
      <c r="Y541" s="18"/>
      <c r="Z541" s="18"/>
      <c r="AA541" s="18"/>
      <c r="AB541" s="18"/>
    </row>
    <row r="542" spans="1:28">
      <c r="A542" s="51">
        <v>541</v>
      </c>
      <c r="B542" s="52"/>
      <c r="C542" s="61"/>
      <c r="D542" s="51"/>
      <c r="E542" s="51" t="s">
        <v>1713</v>
      </c>
      <c r="F542" s="55" t="s">
        <v>1714</v>
      </c>
      <c r="G542" s="56"/>
      <c r="H542" s="57"/>
      <c r="I542" s="51"/>
      <c r="J542" s="51">
        <f>5.6*1000</f>
        <v>5600</v>
      </c>
      <c r="K542" s="58">
        <v>8.4490740740740741E-3</v>
      </c>
      <c r="L542" s="59" t="s">
        <v>1162</v>
      </c>
      <c r="M542" s="51"/>
      <c r="N542" s="51"/>
      <c r="O542" s="51"/>
      <c r="P542" s="51"/>
      <c r="Q542" s="37" t="str">
        <f t="shared" ca="1" si="0"/>
        <v/>
      </c>
      <c r="R542" s="52"/>
      <c r="S542" s="52"/>
      <c r="T542" s="52"/>
      <c r="U542" s="61"/>
      <c r="V542" s="62"/>
      <c r="W542" s="63"/>
      <c r="X542" s="64"/>
      <c r="Y542" s="18"/>
      <c r="Z542" s="18"/>
      <c r="AA542" s="18"/>
      <c r="AB542" s="18"/>
    </row>
    <row r="543" spans="1:28">
      <c r="A543" s="51">
        <v>542</v>
      </c>
      <c r="B543" s="52"/>
      <c r="C543" s="61"/>
      <c r="D543" s="51"/>
      <c r="E543" s="51" t="s">
        <v>1715</v>
      </c>
      <c r="F543" s="55" t="s">
        <v>1716</v>
      </c>
      <c r="G543" s="56"/>
      <c r="H543" s="57"/>
      <c r="I543" s="51"/>
      <c r="J543" s="51">
        <f>984</f>
        <v>984</v>
      </c>
      <c r="K543" s="58">
        <v>3.4768518518518525E-2</v>
      </c>
      <c r="L543" s="59" t="s">
        <v>1162</v>
      </c>
      <c r="M543" s="51"/>
      <c r="N543" s="51"/>
      <c r="O543" s="51"/>
      <c r="P543" s="51"/>
      <c r="Q543" s="37" t="str">
        <f t="shared" ca="1" si="0"/>
        <v/>
      </c>
      <c r="R543" s="52"/>
      <c r="S543" s="52"/>
      <c r="T543" s="52"/>
      <c r="U543" s="61"/>
      <c r="V543" s="62"/>
      <c r="W543" s="63"/>
      <c r="X543" s="64"/>
      <c r="Y543" s="18"/>
      <c r="Z543" s="18"/>
      <c r="AA543" s="18"/>
      <c r="AB543" s="18"/>
    </row>
    <row r="544" spans="1:28">
      <c r="A544" s="51">
        <v>543</v>
      </c>
      <c r="B544" s="52"/>
      <c r="C544" s="61"/>
      <c r="D544" s="51"/>
      <c r="E544" s="51" t="s">
        <v>1717</v>
      </c>
      <c r="F544" s="55" t="s">
        <v>1718</v>
      </c>
      <c r="G544" s="56"/>
      <c r="H544" s="57"/>
      <c r="I544" s="51"/>
      <c r="J544" s="51">
        <f>722</f>
        <v>722</v>
      </c>
      <c r="K544" s="58">
        <v>1.5659722222222224E-2</v>
      </c>
      <c r="L544" s="59" t="s">
        <v>1162</v>
      </c>
      <c r="M544" s="51"/>
      <c r="N544" s="51"/>
      <c r="O544" s="51"/>
      <c r="P544" s="51"/>
      <c r="Q544" s="37" t="str">
        <f t="shared" ca="1" si="0"/>
        <v/>
      </c>
      <c r="R544" s="52"/>
      <c r="S544" s="52"/>
      <c r="T544" s="52"/>
      <c r="U544" s="61"/>
      <c r="V544" s="62"/>
      <c r="W544" s="63"/>
      <c r="X544" s="64"/>
      <c r="Y544" s="18"/>
      <c r="Z544" s="18"/>
      <c r="AA544" s="18"/>
      <c r="AB544" s="18"/>
    </row>
    <row r="545" spans="1:28">
      <c r="A545" s="51">
        <v>544</v>
      </c>
      <c r="B545" s="52"/>
      <c r="C545" s="61"/>
      <c r="D545" s="51"/>
      <c r="E545" s="51" t="s">
        <v>1719</v>
      </c>
      <c r="F545" s="55" t="s">
        <v>1720</v>
      </c>
      <c r="G545" s="56"/>
      <c r="H545" s="57"/>
      <c r="I545" s="51"/>
      <c r="J545" s="51">
        <f>4.9*1000</f>
        <v>4900</v>
      </c>
      <c r="K545" s="58">
        <v>1.0231481481481482E-2</v>
      </c>
      <c r="L545" s="59" t="s">
        <v>1162</v>
      </c>
      <c r="M545" s="51"/>
      <c r="N545" s="51"/>
      <c r="O545" s="51"/>
      <c r="P545" s="51"/>
      <c r="Q545" s="37" t="str">
        <f t="shared" ca="1" si="0"/>
        <v/>
      </c>
      <c r="R545" s="52"/>
      <c r="S545" s="52"/>
      <c r="T545" s="52"/>
      <c r="U545" s="61"/>
      <c r="V545" s="62"/>
      <c r="W545" s="63"/>
      <c r="X545" s="64"/>
      <c r="Y545" s="18"/>
      <c r="Z545" s="18"/>
      <c r="AA545" s="18"/>
      <c r="AB545" s="18"/>
    </row>
    <row r="546" spans="1:28">
      <c r="A546" s="51">
        <v>545</v>
      </c>
      <c r="B546" s="52"/>
      <c r="C546" s="61"/>
      <c r="D546" s="51"/>
      <c r="E546" s="51" t="s">
        <v>1721</v>
      </c>
      <c r="F546" s="55" t="s">
        <v>1722</v>
      </c>
      <c r="G546" s="56"/>
      <c r="H546" s="57"/>
      <c r="I546" s="51"/>
      <c r="J546" s="51">
        <f>1*1000</f>
        <v>1000</v>
      </c>
      <c r="K546" s="58">
        <v>4.2361111111111106E-3</v>
      </c>
      <c r="L546" s="59" t="s">
        <v>1162</v>
      </c>
      <c r="M546" s="51"/>
      <c r="N546" s="51"/>
      <c r="O546" s="51"/>
      <c r="P546" s="51"/>
      <c r="Q546" s="37" t="str">
        <f t="shared" ca="1" si="0"/>
        <v/>
      </c>
      <c r="R546" s="52"/>
      <c r="S546" s="52"/>
      <c r="T546" s="52"/>
      <c r="U546" s="61"/>
      <c r="V546" s="62"/>
      <c r="W546" s="63"/>
      <c r="X546" s="64"/>
      <c r="Y546" s="18"/>
      <c r="Z546" s="18"/>
      <c r="AA546" s="18"/>
      <c r="AB546" s="18"/>
    </row>
    <row r="547" spans="1:28">
      <c r="A547" s="51">
        <v>546</v>
      </c>
      <c r="B547" s="52"/>
      <c r="C547" s="61"/>
      <c r="D547" s="51"/>
      <c r="E547" s="51" t="s">
        <v>1723</v>
      </c>
      <c r="F547" s="55" t="s">
        <v>1724</v>
      </c>
      <c r="G547" s="56"/>
      <c r="H547" s="57"/>
      <c r="I547" s="51"/>
      <c r="J547" s="51">
        <f>3.5*1000</f>
        <v>3500</v>
      </c>
      <c r="K547" s="58">
        <v>1.3587962962962963E-2</v>
      </c>
      <c r="L547" s="59" t="s">
        <v>1162</v>
      </c>
      <c r="M547" s="51"/>
      <c r="N547" s="51"/>
      <c r="O547" s="51"/>
      <c r="P547" s="51"/>
      <c r="Q547" s="37" t="str">
        <f t="shared" ca="1" si="0"/>
        <v/>
      </c>
      <c r="R547" s="52"/>
      <c r="S547" s="52"/>
      <c r="T547" s="52"/>
      <c r="U547" s="61"/>
      <c r="V547" s="62"/>
      <c r="W547" s="63"/>
      <c r="X547" s="64"/>
      <c r="Y547" s="18"/>
      <c r="Z547" s="18"/>
      <c r="AA547" s="18"/>
      <c r="AB547" s="18"/>
    </row>
    <row r="548" spans="1:28">
      <c r="A548" s="51">
        <v>547</v>
      </c>
      <c r="B548" s="52"/>
      <c r="C548" s="61"/>
      <c r="D548" s="51"/>
      <c r="E548" s="51" t="s">
        <v>1725</v>
      </c>
      <c r="F548" s="55" t="s">
        <v>1726</v>
      </c>
      <c r="G548" s="56"/>
      <c r="H548" s="57"/>
      <c r="I548" s="51"/>
      <c r="J548" s="51">
        <f>1.9*1000</f>
        <v>1900</v>
      </c>
      <c r="K548" s="58">
        <v>5.8796296296296296E-3</v>
      </c>
      <c r="L548" s="59" t="s">
        <v>1162</v>
      </c>
      <c r="M548" s="51"/>
      <c r="N548" s="51"/>
      <c r="O548" s="51"/>
      <c r="P548" s="51"/>
      <c r="Q548" s="37" t="str">
        <f t="shared" ca="1" si="0"/>
        <v/>
      </c>
      <c r="R548" s="52"/>
      <c r="S548" s="52"/>
      <c r="T548" s="52"/>
      <c r="U548" s="61"/>
      <c r="V548" s="62"/>
      <c r="W548" s="63"/>
      <c r="X548" s="64"/>
      <c r="Y548" s="18"/>
      <c r="Z548" s="18"/>
      <c r="AA548" s="18"/>
      <c r="AB548" s="18"/>
    </row>
    <row r="549" spans="1:28">
      <c r="A549" s="51">
        <v>548</v>
      </c>
      <c r="B549" s="52"/>
      <c r="C549" s="61"/>
      <c r="D549" s="51"/>
      <c r="E549" s="51" t="s">
        <v>1727</v>
      </c>
      <c r="F549" s="55" t="s">
        <v>1728</v>
      </c>
      <c r="G549" s="56"/>
      <c r="H549" s="57"/>
      <c r="I549" s="51"/>
      <c r="J549" s="51">
        <f>1.3*1000</f>
        <v>1300</v>
      </c>
      <c r="K549" s="58">
        <v>3.9467592592592592E-3</v>
      </c>
      <c r="L549" s="59" t="s">
        <v>1162</v>
      </c>
      <c r="M549" s="51"/>
      <c r="N549" s="51"/>
      <c r="O549" s="51"/>
      <c r="P549" s="51"/>
      <c r="Q549" s="37" t="str">
        <f t="shared" ca="1" si="0"/>
        <v/>
      </c>
      <c r="R549" s="52"/>
      <c r="S549" s="52"/>
      <c r="T549" s="52"/>
      <c r="U549" s="61"/>
      <c r="V549" s="62"/>
      <c r="W549" s="63"/>
      <c r="X549" s="64"/>
      <c r="Y549" s="18"/>
      <c r="Z549" s="18"/>
      <c r="AA549" s="18"/>
      <c r="AB549" s="18"/>
    </row>
    <row r="550" spans="1:28">
      <c r="A550" s="51">
        <v>549</v>
      </c>
      <c r="B550" s="52"/>
      <c r="C550" s="61"/>
      <c r="D550" s="51"/>
      <c r="E550" s="51" t="s">
        <v>1729</v>
      </c>
      <c r="F550" s="55" t="s">
        <v>1730</v>
      </c>
      <c r="G550" s="56"/>
      <c r="H550" s="57"/>
      <c r="I550" s="51"/>
      <c r="J550" s="51">
        <f>1.2*1000</f>
        <v>1200</v>
      </c>
      <c r="K550" s="58">
        <v>1.5740740740740741E-3</v>
      </c>
      <c r="L550" s="59" t="s">
        <v>1162</v>
      </c>
      <c r="M550" s="51"/>
      <c r="N550" s="51"/>
      <c r="O550" s="51"/>
      <c r="P550" s="51"/>
      <c r="Q550" s="37" t="str">
        <f t="shared" ca="1" si="0"/>
        <v/>
      </c>
      <c r="R550" s="52"/>
      <c r="S550" s="52"/>
      <c r="T550" s="52"/>
      <c r="U550" s="61"/>
      <c r="V550" s="62"/>
      <c r="W550" s="63"/>
      <c r="X550" s="64"/>
      <c r="Y550" s="18"/>
      <c r="Z550" s="18"/>
      <c r="AA550" s="18"/>
      <c r="AB550" s="18"/>
    </row>
    <row r="551" spans="1:28">
      <c r="A551" s="51">
        <v>550</v>
      </c>
      <c r="B551" s="69"/>
      <c r="C551" s="61"/>
      <c r="D551" s="51"/>
      <c r="E551" s="51" t="s">
        <v>1731</v>
      </c>
      <c r="F551" s="55" t="s">
        <v>1732</v>
      </c>
      <c r="G551" s="56"/>
      <c r="H551" s="57"/>
      <c r="I551" s="51"/>
      <c r="J551" s="51">
        <f>4.9*1000</f>
        <v>4900</v>
      </c>
      <c r="K551" s="58">
        <v>1.4074074074074074E-2</v>
      </c>
      <c r="L551" s="59" t="s">
        <v>1162</v>
      </c>
      <c r="M551" s="51"/>
      <c r="N551" s="51"/>
      <c r="O551" s="51"/>
      <c r="P551" s="51"/>
      <c r="Q551" s="37" t="str">
        <f t="shared" ca="1" si="0"/>
        <v/>
      </c>
      <c r="R551" s="52"/>
      <c r="S551" s="52"/>
      <c r="T551" s="52"/>
      <c r="U551" s="61"/>
      <c r="V551" s="62"/>
      <c r="W551" s="63"/>
      <c r="X551" s="64"/>
      <c r="Y551" s="18"/>
      <c r="Z551" s="18"/>
      <c r="AA551" s="18"/>
      <c r="AB551" s="18"/>
    </row>
    <row r="552" spans="1:28">
      <c r="A552" s="51">
        <v>551</v>
      </c>
      <c r="B552" s="69"/>
      <c r="C552" s="61"/>
      <c r="D552" s="51"/>
      <c r="E552" s="51" t="s">
        <v>1733</v>
      </c>
      <c r="F552" s="55" t="s">
        <v>1734</v>
      </c>
      <c r="G552" s="56"/>
      <c r="H552" s="57"/>
      <c r="I552" s="51"/>
      <c r="J552" s="51">
        <f>62*1000</f>
        <v>62000</v>
      </c>
      <c r="K552" s="58">
        <v>3.9641203703703706E-2</v>
      </c>
      <c r="L552" s="59" t="s">
        <v>1312</v>
      </c>
      <c r="M552" s="51"/>
      <c r="N552" s="51"/>
      <c r="O552" s="51"/>
      <c r="P552" s="51"/>
      <c r="Q552" s="37" t="str">
        <f t="shared" ca="1" si="0"/>
        <v/>
      </c>
      <c r="R552" s="52"/>
      <c r="S552" s="52"/>
      <c r="T552" s="52"/>
      <c r="U552" s="61"/>
      <c r="V552" s="62"/>
      <c r="W552" s="63"/>
      <c r="X552" s="64"/>
      <c r="Y552" s="18"/>
      <c r="Z552" s="18"/>
      <c r="AA552" s="18"/>
      <c r="AB552" s="18"/>
    </row>
    <row r="553" spans="1:28">
      <c r="A553" s="51">
        <v>552</v>
      </c>
      <c r="B553" s="52"/>
      <c r="C553" s="61"/>
      <c r="D553" s="51"/>
      <c r="E553" s="51" t="s">
        <v>1735</v>
      </c>
      <c r="F553" s="55" t="s">
        <v>1736</v>
      </c>
      <c r="G553" s="56"/>
      <c r="H553" s="57"/>
      <c r="I553" s="51"/>
      <c r="J553" s="51">
        <f>7*1000</f>
        <v>7000</v>
      </c>
      <c r="K553" s="58">
        <v>1.9328703703703704E-3</v>
      </c>
      <c r="L553" s="59" t="s">
        <v>1312</v>
      </c>
      <c r="M553" s="51"/>
      <c r="N553" s="51"/>
      <c r="O553" s="51"/>
      <c r="P553" s="51"/>
      <c r="Q553" s="37" t="str">
        <f t="shared" ca="1" si="0"/>
        <v/>
      </c>
      <c r="R553" s="52"/>
      <c r="S553" s="52"/>
      <c r="T553" s="52"/>
      <c r="U553" s="61"/>
      <c r="V553" s="62"/>
      <c r="W553" s="63"/>
      <c r="X553" s="64"/>
      <c r="Y553" s="18"/>
      <c r="Z553" s="18"/>
      <c r="AA553" s="18"/>
      <c r="AB553" s="18"/>
    </row>
    <row r="554" spans="1:28">
      <c r="A554" s="51">
        <v>553</v>
      </c>
      <c r="B554" s="69"/>
      <c r="C554" s="61"/>
      <c r="D554" s="51"/>
      <c r="E554" s="51" t="s">
        <v>1737</v>
      </c>
      <c r="F554" s="55" t="s">
        <v>1738</v>
      </c>
      <c r="G554" s="56"/>
      <c r="H554" s="57"/>
      <c r="I554" s="51"/>
      <c r="J554" s="51">
        <f>1.7*1000</f>
        <v>1700</v>
      </c>
      <c r="K554" s="58">
        <v>1.8842592592592591E-2</v>
      </c>
      <c r="L554" s="59" t="s">
        <v>1312</v>
      </c>
      <c r="M554" s="51"/>
      <c r="N554" s="51"/>
      <c r="O554" s="51"/>
      <c r="P554" s="51"/>
      <c r="Q554" s="37" t="str">
        <f t="shared" ca="1" si="0"/>
        <v/>
      </c>
      <c r="R554" s="52"/>
      <c r="S554" s="52"/>
      <c r="T554" s="52"/>
      <c r="U554" s="61"/>
      <c r="V554" s="62"/>
      <c r="W554" s="63"/>
      <c r="X554" s="64"/>
      <c r="Y554" s="18"/>
      <c r="Z554" s="18"/>
      <c r="AA554" s="18"/>
      <c r="AB554" s="18"/>
    </row>
    <row r="555" spans="1:28">
      <c r="A555" s="51">
        <v>554</v>
      </c>
      <c r="B555" s="69"/>
      <c r="C555" s="61"/>
      <c r="D555" s="51"/>
      <c r="E555" s="51" t="s">
        <v>1739</v>
      </c>
      <c r="F555" s="55" t="s">
        <v>1740</v>
      </c>
      <c r="G555" s="56"/>
      <c r="H555" s="57"/>
      <c r="I555" s="51"/>
      <c r="J555" s="51">
        <f>2.6*1000</f>
        <v>2600</v>
      </c>
      <c r="K555" s="58">
        <v>2.4108796296296298E-2</v>
      </c>
      <c r="L555" s="59" t="s">
        <v>1312</v>
      </c>
      <c r="M555" s="51"/>
      <c r="N555" s="51"/>
      <c r="O555" s="51"/>
      <c r="P555" s="51"/>
      <c r="Q555" s="37" t="str">
        <f t="shared" ca="1" si="0"/>
        <v/>
      </c>
      <c r="R555" s="52"/>
      <c r="S555" s="52"/>
      <c r="T555" s="52"/>
      <c r="U555" s="61"/>
      <c r="V555" s="62"/>
      <c r="W555" s="63"/>
      <c r="X555" s="64"/>
      <c r="Y555" s="18"/>
      <c r="Z555" s="18"/>
      <c r="AA555" s="18"/>
      <c r="AB555" s="18"/>
    </row>
    <row r="556" spans="1:28">
      <c r="A556" s="51">
        <v>555</v>
      </c>
      <c r="B556" s="69"/>
      <c r="C556" s="61"/>
      <c r="D556" s="51"/>
      <c r="E556" s="51" t="s">
        <v>1741</v>
      </c>
      <c r="F556" s="55" t="s">
        <v>1742</v>
      </c>
      <c r="G556" s="56"/>
      <c r="H556" s="57"/>
      <c r="I556" s="51"/>
      <c r="J556" s="51">
        <f>868</f>
        <v>868</v>
      </c>
      <c r="K556" s="58">
        <v>1.1423611111111112E-2</v>
      </c>
      <c r="L556" s="59" t="s">
        <v>1312</v>
      </c>
      <c r="M556" s="51"/>
      <c r="N556" s="51"/>
      <c r="O556" s="51"/>
      <c r="P556" s="51"/>
      <c r="Q556" s="37" t="str">
        <f t="shared" ca="1" si="0"/>
        <v/>
      </c>
      <c r="R556" s="52"/>
      <c r="S556" s="52"/>
      <c r="T556" s="52"/>
      <c r="U556" s="61"/>
      <c r="V556" s="62"/>
      <c r="W556" s="63"/>
      <c r="X556" s="64"/>
      <c r="Y556" s="18"/>
      <c r="Z556" s="18"/>
      <c r="AA556" s="18"/>
      <c r="AB556" s="18"/>
    </row>
    <row r="557" spans="1:28">
      <c r="A557" s="51">
        <v>556</v>
      </c>
      <c r="B557" s="69" t="s">
        <v>127</v>
      </c>
      <c r="C557" s="61"/>
      <c r="D557" s="51"/>
      <c r="E557" s="51" t="s">
        <v>1743</v>
      </c>
      <c r="F557" s="55" t="s">
        <v>1744</v>
      </c>
      <c r="G557" s="56"/>
      <c r="H557" s="57"/>
      <c r="I557" s="51"/>
      <c r="J557" s="51">
        <f>3.7*1000</f>
        <v>3700</v>
      </c>
      <c r="K557" s="58">
        <v>6.7870370370370373E-2</v>
      </c>
      <c r="L557" s="59" t="s">
        <v>1312</v>
      </c>
      <c r="M557" s="51"/>
      <c r="N557" s="51"/>
      <c r="O557" s="51"/>
      <c r="P557" s="51"/>
      <c r="Q557" s="37" t="str">
        <f t="shared" ca="1" si="0"/>
        <v/>
      </c>
      <c r="R557" s="52"/>
      <c r="S557" s="52"/>
      <c r="T557" s="52"/>
      <c r="U557" s="61"/>
      <c r="V557" s="62"/>
      <c r="W557" s="63"/>
      <c r="X557" s="64"/>
      <c r="Y557" s="18"/>
      <c r="Z557" s="18"/>
      <c r="AA557" s="18"/>
      <c r="AB557" s="18"/>
    </row>
    <row r="558" spans="1:28">
      <c r="A558" s="51">
        <v>557</v>
      </c>
      <c r="B558" s="52"/>
      <c r="C558" s="61"/>
      <c r="D558" s="51"/>
      <c r="E558" s="51" t="s">
        <v>1745</v>
      </c>
      <c r="F558" s="55" t="s">
        <v>1746</v>
      </c>
      <c r="G558" s="56"/>
      <c r="H558" s="57"/>
      <c r="I558" s="51"/>
      <c r="J558" s="51">
        <f>6.4*1000</f>
        <v>6400</v>
      </c>
      <c r="K558" s="58">
        <v>4.1689814814814818E-2</v>
      </c>
      <c r="L558" s="59" t="s">
        <v>1312</v>
      </c>
      <c r="M558" s="51"/>
      <c r="N558" s="51"/>
      <c r="O558" s="51"/>
      <c r="P558" s="51"/>
      <c r="Q558" s="37" t="str">
        <f t="shared" ca="1" si="0"/>
        <v/>
      </c>
      <c r="R558" s="52"/>
      <c r="S558" s="52"/>
      <c r="T558" s="52"/>
      <c r="U558" s="61"/>
      <c r="V558" s="62"/>
      <c r="W558" s="63"/>
      <c r="X558" s="64"/>
      <c r="Y558" s="18"/>
      <c r="Z558" s="18"/>
      <c r="AA558" s="18"/>
      <c r="AB558" s="18"/>
    </row>
    <row r="559" spans="1:28">
      <c r="A559" s="51">
        <v>558</v>
      </c>
      <c r="B559" s="52"/>
      <c r="C559" s="61"/>
      <c r="D559" s="51"/>
      <c r="E559" s="51" t="s">
        <v>1747</v>
      </c>
      <c r="F559" s="55" t="s">
        <v>1748</v>
      </c>
      <c r="G559" s="56"/>
      <c r="H559" s="57"/>
      <c r="I559" s="51"/>
      <c r="J559" s="51">
        <f>704</f>
        <v>704</v>
      </c>
      <c r="K559" s="58">
        <v>5.0347222222222225E-3</v>
      </c>
      <c r="L559" s="59" t="s">
        <v>1312</v>
      </c>
      <c r="M559" s="51"/>
      <c r="N559" s="51"/>
      <c r="O559" s="51"/>
      <c r="P559" s="51"/>
      <c r="Q559" s="37" t="str">
        <f t="shared" ca="1" si="0"/>
        <v/>
      </c>
      <c r="R559" s="52"/>
      <c r="S559" s="52"/>
      <c r="T559" s="52"/>
      <c r="U559" s="61"/>
      <c r="V559" s="62"/>
      <c r="W559" s="63"/>
      <c r="X559" s="64"/>
      <c r="Y559" s="18"/>
      <c r="Z559" s="18"/>
      <c r="AA559" s="18"/>
      <c r="AB559" s="18"/>
    </row>
    <row r="560" spans="1:28">
      <c r="A560" s="51">
        <v>559</v>
      </c>
      <c r="B560" s="52"/>
      <c r="C560" s="61"/>
      <c r="D560" s="51"/>
      <c r="E560" s="51" t="s">
        <v>1749</v>
      </c>
      <c r="F560" s="55" t="s">
        <v>1750</v>
      </c>
      <c r="G560" s="56"/>
      <c r="H560" s="57"/>
      <c r="I560" s="51"/>
      <c r="J560" s="51">
        <f>692</f>
        <v>692</v>
      </c>
      <c r="K560" s="58">
        <v>6.4351851851851861E-3</v>
      </c>
      <c r="L560" s="59" t="s">
        <v>1312</v>
      </c>
      <c r="M560" s="51"/>
      <c r="N560" s="51"/>
      <c r="O560" s="51"/>
      <c r="P560" s="51"/>
      <c r="Q560" s="37" t="str">
        <f t="shared" ca="1" si="0"/>
        <v/>
      </c>
      <c r="R560" s="52"/>
      <c r="S560" s="52"/>
      <c r="T560" s="52"/>
      <c r="U560" s="61"/>
      <c r="V560" s="62"/>
      <c r="W560" s="63"/>
      <c r="X560" s="64"/>
      <c r="Y560" s="18"/>
      <c r="Z560" s="18"/>
      <c r="AA560" s="18"/>
      <c r="AB560" s="18"/>
    </row>
    <row r="561" spans="1:28">
      <c r="A561" s="51">
        <v>560</v>
      </c>
      <c r="B561" s="52"/>
      <c r="C561" s="61"/>
      <c r="D561" s="51"/>
      <c r="E561" s="51" t="s">
        <v>1751</v>
      </c>
      <c r="F561" s="55" t="s">
        <v>1752</v>
      </c>
      <c r="G561" s="56"/>
      <c r="H561" s="57"/>
      <c r="I561" s="51"/>
      <c r="J561" s="51">
        <f>3.6*1000</f>
        <v>3600</v>
      </c>
      <c r="K561" s="58">
        <v>4.4004629629629623E-2</v>
      </c>
      <c r="L561" s="59" t="s">
        <v>1312</v>
      </c>
      <c r="M561" s="51"/>
      <c r="N561" s="51"/>
      <c r="O561" s="51"/>
      <c r="P561" s="51"/>
      <c r="Q561" s="37" t="str">
        <f t="shared" ca="1" si="0"/>
        <v/>
      </c>
      <c r="R561" s="52"/>
      <c r="S561" s="52"/>
      <c r="T561" s="52"/>
      <c r="U561" s="61"/>
      <c r="V561" s="62"/>
      <c r="W561" s="63"/>
      <c r="X561" s="64"/>
      <c r="Y561" s="18"/>
      <c r="Z561" s="18"/>
      <c r="AA561" s="18"/>
      <c r="AB561" s="18"/>
    </row>
    <row r="562" spans="1:28">
      <c r="A562" s="51">
        <v>561</v>
      </c>
      <c r="B562" s="52"/>
      <c r="C562" s="61"/>
      <c r="D562" s="51"/>
      <c r="E562" s="51" t="s">
        <v>1753</v>
      </c>
      <c r="F562" s="55" t="s">
        <v>1754</v>
      </c>
      <c r="G562" s="56"/>
      <c r="H562" s="57"/>
      <c r="I562" s="51"/>
      <c r="J562" s="51">
        <f>3*1000</f>
        <v>3000</v>
      </c>
      <c r="K562" s="58">
        <v>1.1157407407407408E-2</v>
      </c>
      <c r="L562" s="59" t="s">
        <v>1312</v>
      </c>
      <c r="M562" s="51"/>
      <c r="N562" s="51"/>
      <c r="O562" s="51"/>
      <c r="P562" s="51"/>
      <c r="Q562" s="37" t="str">
        <f t="shared" ca="1" si="0"/>
        <v/>
      </c>
      <c r="R562" s="52"/>
      <c r="S562" s="52"/>
      <c r="T562" s="52"/>
      <c r="U562" s="61"/>
      <c r="V562" s="62"/>
      <c r="W562" s="63"/>
      <c r="X562" s="64"/>
      <c r="Y562" s="18"/>
      <c r="Z562" s="18"/>
      <c r="AA562" s="18"/>
      <c r="AB562" s="18"/>
    </row>
    <row r="563" spans="1:28">
      <c r="A563" s="51">
        <v>562</v>
      </c>
      <c r="B563" s="52"/>
      <c r="C563" s="61"/>
      <c r="D563" s="51"/>
      <c r="E563" s="51" t="s">
        <v>1755</v>
      </c>
      <c r="F563" s="55" t="s">
        <v>1756</v>
      </c>
      <c r="G563" s="56"/>
      <c r="H563" s="57"/>
      <c r="I563" s="51"/>
      <c r="J563" s="51">
        <f>953</f>
        <v>953</v>
      </c>
      <c r="K563" s="58">
        <v>1.7037037037037038E-2</v>
      </c>
      <c r="L563" s="59" t="s">
        <v>1312</v>
      </c>
      <c r="M563" s="51"/>
      <c r="N563" s="51"/>
      <c r="O563" s="51"/>
      <c r="P563" s="51"/>
      <c r="Q563" s="37" t="str">
        <f t="shared" ca="1" si="0"/>
        <v/>
      </c>
      <c r="R563" s="52"/>
      <c r="S563" s="52"/>
      <c r="T563" s="52"/>
      <c r="U563" s="61"/>
      <c r="V563" s="62"/>
      <c r="W563" s="63"/>
      <c r="X563" s="64"/>
      <c r="Y563" s="18"/>
      <c r="Z563" s="18"/>
      <c r="AA563" s="18"/>
      <c r="AB563" s="18"/>
    </row>
    <row r="564" spans="1:28">
      <c r="A564" s="51">
        <v>563</v>
      </c>
      <c r="B564" s="52"/>
      <c r="C564" s="61"/>
      <c r="D564" s="51"/>
      <c r="E564" s="51" t="s">
        <v>1757</v>
      </c>
      <c r="F564" s="55" t="s">
        <v>1758</v>
      </c>
      <c r="G564" s="56"/>
      <c r="H564" s="57"/>
      <c r="I564" s="51"/>
      <c r="J564" s="51">
        <f>851</f>
        <v>851</v>
      </c>
      <c r="K564" s="58">
        <v>8.8541666666666664E-3</v>
      </c>
      <c r="L564" s="59" t="s">
        <v>1312</v>
      </c>
      <c r="M564" s="51"/>
      <c r="N564" s="51"/>
      <c r="O564" s="51"/>
      <c r="P564" s="51"/>
      <c r="Q564" s="37" t="str">
        <f t="shared" ca="1" si="0"/>
        <v/>
      </c>
      <c r="R564" s="52"/>
      <c r="S564" s="52"/>
      <c r="T564" s="52"/>
      <c r="U564" s="61"/>
      <c r="V564" s="62"/>
      <c r="W564" s="63"/>
      <c r="X564" s="64"/>
      <c r="Y564" s="18"/>
      <c r="Z564" s="18"/>
      <c r="AA564" s="18"/>
      <c r="AB564" s="18"/>
    </row>
    <row r="565" spans="1:28">
      <c r="A565" s="51">
        <v>564</v>
      </c>
      <c r="B565" s="52"/>
      <c r="C565" s="61"/>
      <c r="D565" s="51"/>
      <c r="E565" s="51" t="s">
        <v>1759</v>
      </c>
      <c r="F565" s="55" t="s">
        <v>1760</v>
      </c>
      <c r="G565" s="56"/>
      <c r="H565" s="57"/>
      <c r="I565" s="51"/>
      <c r="J565" s="51">
        <f>454</f>
        <v>454</v>
      </c>
      <c r="K565" s="58">
        <v>7.0254629629629634E-3</v>
      </c>
      <c r="L565" s="59" t="s">
        <v>1312</v>
      </c>
      <c r="M565" s="51"/>
      <c r="N565" s="51"/>
      <c r="O565" s="51"/>
      <c r="P565" s="51"/>
      <c r="Q565" s="37" t="str">
        <f t="shared" ca="1" si="0"/>
        <v/>
      </c>
      <c r="R565" s="52"/>
      <c r="S565" s="52"/>
      <c r="T565" s="52"/>
      <c r="U565" s="61"/>
      <c r="V565" s="62"/>
      <c r="W565" s="63"/>
      <c r="X565" s="64"/>
      <c r="Y565" s="18"/>
      <c r="Z565" s="18"/>
      <c r="AA565" s="18"/>
      <c r="AB565" s="18"/>
    </row>
    <row r="566" spans="1:28">
      <c r="A566" s="51">
        <v>565</v>
      </c>
      <c r="B566" s="52"/>
      <c r="C566" s="61"/>
      <c r="D566" s="51"/>
      <c r="E566" s="51" t="s">
        <v>1761</v>
      </c>
      <c r="F566" s="55" t="s">
        <v>1762</v>
      </c>
      <c r="G566" s="56"/>
      <c r="H566" s="57"/>
      <c r="I566" s="51"/>
      <c r="J566" s="51">
        <f>979</f>
        <v>979</v>
      </c>
      <c r="K566" s="58">
        <v>9.8495370370370369E-3</v>
      </c>
      <c r="L566" s="59" t="s">
        <v>1312</v>
      </c>
      <c r="M566" s="51"/>
      <c r="N566" s="51"/>
      <c r="O566" s="51"/>
      <c r="P566" s="51"/>
      <c r="Q566" s="37" t="str">
        <f t="shared" ca="1" si="0"/>
        <v/>
      </c>
      <c r="R566" s="52"/>
      <c r="S566" s="52"/>
      <c r="T566" s="52"/>
      <c r="U566" s="61"/>
      <c r="V566" s="62"/>
      <c r="W566" s="63"/>
      <c r="X566" s="64"/>
      <c r="Y566" s="18"/>
      <c r="Z566" s="18"/>
      <c r="AA566" s="18"/>
      <c r="AB566" s="18"/>
    </row>
    <row r="567" spans="1:28">
      <c r="A567" s="51">
        <v>566</v>
      </c>
      <c r="B567" s="52"/>
      <c r="C567" s="61"/>
      <c r="D567" s="51"/>
      <c r="E567" s="51" t="s">
        <v>1763</v>
      </c>
      <c r="F567" s="55" t="s">
        <v>1764</v>
      </c>
      <c r="G567" s="56"/>
      <c r="H567" s="57"/>
      <c r="I567" s="51"/>
      <c r="J567" s="51">
        <f>609</f>
        <v>609</v>
      </c>
      <c r="K567" s="58">
        <v>5.7523148148148143E-3</v>
      </c>
      <c r="L567" s="59" t="s">
        <v>1312</v>
      </c>
      <c r="M567" s="51"/>
      <c r="N567" s="51"/>
      <c r="O567" s="51"/>
      <c r="P567" s="51"/>
      <c r="Q567" s="37" t="str">
        <f t="shared" ca="1" si="0"/>
        <v/>
      </c>
      <c r="R567" s="52"/>
      <c r="S567" s="52"/>
      <c r="T567" s="52"/>
      <c r="U567" s="61"/>
      <c r="V567" s="62"/>
      <c r="W567" s="63"/>
      <c r="X567" s="64"/>
      <c r="Y567" s="18"/>
      <c r="Z567" s="18"/>
      <c r="AA567" s="18"/>
      <c r="AB567" s="18"/>
    </row>
    <row r="568" spans="1:28">
      <c r="A568" s="51">
        <v>567</v>
      </c>
      <c r="B568" s="52"/>
      <c r="C568" s="61"/>
      <c r="D568" s="51"/>
      <c r="E568" s="51" t="s">
        <v>1765</v>
      </c>
      <c r="F568" s="55" t="s">
        <v>1766</v>
      </c>
      <c r="G568" s="56"/>
      <c r="H568" s="57"/>
      <c r="I568" s="51"/>
      <c r="J568" s="51">
        <f>1*1000</f>
        <v>1000</v>
      </c>
      <c r="K568" s="58">
        <v>3.5069444444444445E-3</v>
      </c>
      <c r="L568" s="59" t="s">
        <v>1312</v>
      </c>
      <c r="M568" s="51"/>
      <c r="N568" s="51"/>
      <c r="O568" s="51"/>
      <c r="P568" s="51"/>
      <c r="Q568" s="37" t="str">
        <f t="shared" ca="1" si="0"/>
        <v/>
      </c>
      <c r="R568" s="52"/>
      <c r="S568" s="52"/>
      <c r="T568" s="52"/>
      <c r="U568" s="61"/>
      <c r="V568" s="62"/>
      <c r="W568" s="63"/>
      <c r="X568" s="64"/>
      <c r="Y568" s="18"/>
      <c r="Z568" s="18"/>
      <c r="AA568" s="18"/>
      <c r="AB568" s="18"/>
    </row>
    <row r="569" spans="1:28">
      <c r="A569" s="51">
        <v>568</v>
      </c>
      <c r="B569" s="52"/>
      <c r="C569" s="61"/>
      <c r="D569" s="51"/>
      <c r="E569" s="51" t="s">
        <v>1767</v>
      </c>
      <c r="F569" s="55" t="s">
        <v>1768</v>
      </c>
      <c r="G569" s="56"/>
      <c r="H569" s="57"/>
      <c r="I569" s="51"/>
      <c r="J569" s="51">
        <f>4.8*1000</f>
        <v>4800</v>
      </c>
      <c r="K569" s="58">
        <v>4.5162037037037035E-2</v>
      </c>
      <c r="L569" s="59" t="s">
        <v>1312</v>
      </c>
      <c r="M569" s="51"/>
      <c r="N569" s="51"/>
      <c r="O569" s="51"/>
      <c r="P569" s="51"/>
      <c r="Q569" s="37" t="str">
        <f t="shared" ca="1" si="0"/>
        <v/>
      </c>
      <c r="R569" s="52"/>
      <c r="S569" s="52"/>
      <c r="T569" s="52"/>
      <c r="U569" s="61"/>
      <c r="V569" s="62"/>
      <c r="W569" s="63"/>
      <c r="X569" s="64"/>
      <c r="Y569" s="18"/>
      <c r="Z569" s="18"/>
      <c r="AA569" s="18"/>
      <c r="AB569" s="18"/>
    </row>
    <row r="570" spans="1:28">
      <c r="A570" s="51">
        <v>569</v>
      </c>
      <c r="B570" s="52"/>
      <c r="C570" s="61"/>
      <c r="D570" s="51"/>
      <c r="E570" s="51" t="s">
        <v>1769</v>
      </c>
      <c r="F570" s="55" t="s">
        <v>1770</v>
      </c>
      <c r="G570" s="56"/>
      <c r="H570" s="57"/>
      <c r="I570" s="51"/>
      <c r="J570" s="51">
        <f>3.4*1000</f>
        <v>3400</v>
      </c>
      <c r="K570" s="58">
        <v>1.5694444444444445E-2</v>
      </c>
      <c r="L570" s="59" t="s">
        <v>1312</v>
      </c>
      <c r="M570" s="51"/>
      <c r="N570" s="51"/>
      <c r="O570" s="51"/>
      <c r="P570" s="51"/>
      <c r="Q570" s="37" t="str">
        <f t="shared" ca="1" si="0"/>
        <v/>
      </c>
      <c r="R570" s="52"/>
      <c r="S570" s="52"/>
      <c r="T570" s="52"/>
      <c r="U570" s="61"/>
      <c r="V570" s="62"/>
      <c r="W570" s="63"/>
      <c r="X570" s="64"/>
      <c r="Y570" s="18"/>
      <c r="Z570" s="18"/>
      <c r="AA570" s="18"/>
      <c r="AB570" s="18"/>
    </row>
    <row r="571" spans="1:28">
      <c r="A571" s="51">
        <v>570</v>
      </c>
      <c r="B571" s="52"/>
      <c r="C571" s="61"/>
      <c r="D571" s="51"/>
      <c r="E571" s="51" t="s">
        <v>1771</v>
      </c>
      <c r="F571" s="55" t="s">
        <v>1772</v>
      </c>
      <c r="G571" s="56"/>
      <c r="H571" s="57"/>
      <c r="I571" s="51"/>
      <c r="J571" s="51">
        <f>962</f>
        <v>962</v>
      </c>
      <c r="K571" s="58">
        <v>1.6747685185185185E-2</v>
      </c>
      <c r="L571" s="59" t="s">
        <v>1312</v>
      </c>
      <c r="M571" s="51"/>
      <c r="N571" s="51"/>
      <c r="O571" s="51"/>
      <c r="P571" s="51"/>
      <c r="Q571" s="37" t="str">
        <f t="shared" ca="1" si="0"/>
        <v/>
      </c>
      <c r="R571" s="52"/>
      <c r="S571" s="52"/>
      <c r="T571" s="52"/>
      <c r="U571" s="61"/>
      <c r="V571" s="62"/>
      <c r="W571" s="63"/>
      <c r="X571" s="64"/>
      <c r="Y571" s="18"/>
      <c r="Z571" s="18"/>
      <c r="AA571" s="18"/>
      <c r="AB571" s="18"/>
    </row>
    <row r="572" spans="1:28">
      <c r="A572" s="51">
        <v>571</v>
      </c>
      <c r="B572" s="52"/>
      <c r="C572" s="61"/>
      <c r="D572" s="51"/>
      <c r="E572" s="51" t="s">
        <v>1773</v>
      </c>
      <c r="F572" s="55" t="s">
        <v>1774</v>
      </c>
      <c r="G572" s="56"/>
      <c r="H572" s="57"/>
      <c r="I572" s="51"/>
      <c r="J572" s="51">
        <f>2.2*1000</f>
        <v>2200</v>
      </c>
      <c r="K572" s="58">
        <v>3.4351851851851849E-2</v>
      </c>
      <c r="L572" s="59" t="s">
        <v>1312</v>
      </c>
      <c r="M572" s="51"/>
      <c r="N572" s="51"/>
      <c r="O572" s="51"/>
      <c r="P572" s="51"/>
      <c r="Q572" s="37" t="str">
        <f t="shared" ca="1" si="0"/>
        <v/>
      </c>
      <c r="R572" s="52"/>
      <c r="S572" s="52"/>
      <c r="T572" s="52"/>
      <c r="U572" s="61"/>
      <c r="V572" s="62"/>
      <c r="W572" s="63"/>
      <c r="X572" s="64"/>
      <c r="Y572" s="18"/>
      <c r="Z572" s="18"/>
      <c r="AA572" s="18"/>
      <c r="AB572" s="18"/>
    </row>
    <row r="573" spans="1:28">
      <c r="A573" s="51">
        <v>572</v>
      </c>
      <c r="B573" s="52"/>
      <c r="C573" s="61"/>
      <c r="D573" s="51"/>
      <c r="E573" s="51" t="s">
        <v>1775</v>
      </c>
      <c r="F573" s="55" t="s">
        <v>1776</v>
      </c>
      <c r="G573" s="56"/>
      <c r="H573" s="57"/>
      <c r="I573" s="51"/>
      <c r="J573" s="51">
        <f>641</f>
        <v>641</v>
      </c>
      <c r="K573" s="58">
        <v>6.4699074074074069E-3</v>
      </c>
      <c r="L573" s="59" t="s">
        <v>1312</v>
      </c>
      <c r="M573" s="51"/>
      <c r="N573" s="51"/>
      <c r="O573" s="51"/>
      <c r="P573" s="51"/>
      <c r="Q573" s="37" t="str">
        <f t="shared" ca="1" si="0"/>
        <v/>
      </c>
      <c r="R573" s="52"/>
      <c r="S573" s="52"/>
      <c r="T573" s="52"/>
      <c r="U573" s="61"/>
      <c r="V573" s="62"/>
      <c r="W573" s="63"/>
      <c r="X573" s="64"/>
      <c r="Y573" s="18"/>
      <c r="Z573" s="18"/>
      <c r="AA573" s="18"/>
      <c r="AB573" s="18"/>
    </row>
    <row r="574" spans="1:28">
      <c r="A574" s="51">
        <v>573</v>
      </c>
      <c r="B574" s="52"/>
      <c r="C574" s="61"/>
      <c r="D574" s="51"/>
      <c r="E574" s="51" t="s">
        <v>1777</v>
      </c>
      <c r="F574" s="55" t="s">
        <v>1778</v>
      </c>
      <c r="G574" s="56"/>
      <c r="H574" s="57"/>
      <c r="I574" s="51"/>
      <c r="J574" s="51">
        <f>1.1*1000</f>
        <v>1100</v>
      </c>
      <c r="K574" s="58">
        <v>2.5000000000000001E-3</v>
      </c>
      <c r="L574" s="59" t="s">
        <v>1312</v>
      </c>
      <c r="M574" s="51"/>
      <c r="N574" s="51"/>
      <c r="O574" s="51"/>
      <c r="P574" s="51"/>
      <c r="Q574" s="37" t="str">
        <f t="shared" ca="1" si="0"/>
        <v/>
      </c>
      <c r="R574" s="52"/>
      <c r="S574" s="52"/>
      <c r="T574" s="52"/>
      <c r="U574" s="61"/>
      <c r="V574" s="62"/>
      <c r="W574" s="63"/>
      <c r="X574" s="64"/>
      <c r="Y574" s="18"/>
      <c r="Z574" s="18"/>
      <c r="AA574" s="18"/>
      <c r="AB574" s="18"/>
    </row>
    <row r="575" spans="1:28">
      <c r="A575" s="51">
        <v>574</v>
      </c>
      <c r="B575" s="52"/>
      <c r="C575" s="61"/>
      <c r="D575" s="51"/>
      <c r="E575" s="51" t="s">
        <v>1779</v>
      </c>
      <c r="F575" s="55" t="s">
        <v>1780</v>
      </c>
      <c r="G575" s="56"/>
      <c r="H575" s="57"/>
      <c r="I575" s="51"/>
      <c r="J575" s="51">
        <f>14*1000</f>
        <v>14000</v>
      </c>
      <c r="K575" s="58">
        <v>2.8460648148148148E-2</v>
      </c>
      <c r="L575" s="59" t="s">
        <v>1781</v>
      </c>
      <c r="M575" s="51"/>
      <c r="N575" s="51"/>
      <c r="O575" s="51"/>
      <c r="P575" s="51"/>
      <c r="Q575" s="37" t="str">
        <f t="shared" ca="1" si="0"/>
        <v/>
      </c>
      <c r="R575" s="52"/>
      <c r="S575" s="52"/>
      <c r="T575" s="52"/>
      <c r="U575" s="61"/>
      <c r="V575" s="62"/>
      <c r="W575" s="63"/>
      <c r="X575" s="64"/>
      <c r="Y575" s="18"/>
      <c r="Z575" s="18"/>
      <c r="AA575" s="18"/>
      <c r="AB575" s="18"/>
    </row>
    <row r="576" spans="1:28">
      <c r="A576" s="51">
        <v>575</v>
      </c>
      <c r="B576" s="52"/>
      <c r="C576" s="61"/>
      <c r="D576" s="51"/>
      <c r="E576" s="51" t="s">
        <v>1782</v>
      </c>
      <c r="F576" s="55" t="s">
        <v>1783</v>
      </c>
      <c r="G576" s="56"/>
      <c r="H576" s="57"/>
      <c r="I576" s="51"/>
      <c r="J576" s="51">
        <f>2.7*1000</f>
        <v>2700</v>
      </c>
      <c r="K576" s="58">
        <v>1.3287037037037036E-2</v>
      </c>
      <c r="L576" s="59" t="s">
        <v>1781</v>
      </c>
      <c r="M576" s="51"/>
      <c r="N576" s="51"/>
      <c r="O576" s="51"/>
      <c r="P576" s="51"/>
      <c r="Q576" s="37" t="str">
        <f t="shared" ca="1" si="0"/>
        <v/>
      </c>
      <c r="R576" s="52"/>
      <c r="S576" s="52"/>
      <c r="T576" s="52"/>
      <c r="U576" s="61"/>
      <c r="V576" s="62"/>
      <c r="W576" s="63"/>
      <c r="X576" s="64"/>
      <c r="Y576" s="18"/>
      <c r="Z576" s="18"/>
      <c r="AA576" s="18"/>
      <c r="AB576" s="18"/>
    </row>
    <row r="577" spans="1:28">
      <c r="A577" s="51">
        <v>576</v>
      </c>
      <c r="B577" s="52"/>
      <c r="C577" s="61"/>
      <c r="D577" s="51"/>
      <c r="E577" s="51" t="s">
        <v>1784</v>
      </c>
      <c r="F577" s="55" t="s">
        <v>1785</v>
      </c>
      <c r="G577" s="56"/>
      <c r="H577" s="57"/>
      <c r="I577" s="51"/>
      <c r="J577" s="51">
        <f>2.4*1000</f>
        <v>2400</v>
      </c>
      <c r="K577" s="58">
        <v>2.1909722222222223E-2</v>
      </c>
      <c r="L577" s="59" t="s">
        <v>1781</v>
      </c>
      <c r="M577" s="51"/>
      <c r="N577" s="51"/>
      <c r="O577" s="51"/>
      <c r="P577" s="51"/>
      <c r="Q577" s="37" t="str">
        <f t="shared" ca="1" si="0"/>
        <v/>
      </c>
      <c r="R577" s="52"/>
      <c r="S577" s="52"/>
      <c r="T577" s="52"/>
      <c r="U577" s="61"/>
      <c r="V577" s="62"/>
      <c r="W577" s="63"/>
      <c r="X577" s="64"/>
      <c r="Y577" s="18"/>
      <c r="Z577" s="18"/>
      <c r="AA577" s="18"/>
      <c r="AB577" s="18"/>
    </row>
    <row r="578" spans="1:28">
      <c r="A578" s="51">
        <v>577</v>
      </c>
      <c r="B578" s="52"/>
      <c r="C578" s="61"/>
      <c r="D578" s="51"/>
      <c r="E578" s="51" t="s">
        <v>1786</v>
      </c>
      <c r="F578" s="55" t="s">
        <v>1787</v>
      </c>
      <c r="G578" s="56"/>
      <c r="H578" s="57"/>
      <c r="I578" s="51"/>
      <c r="J578" s="51">
        <f>1.3*1000</f>
        <v>1300</v>
      </c>
      <c r="K578" s="58">
        <v>2.4537037037037036E-3</v>
      </c>
      <c r="L578" s="59" t="s">
        <v>1781</v>
      </c>
      <c r="M578" s="51"/>
      <c r="N578" s="51"/>
      <c r="O578" s="51"/>
      <c r="P578" s="51"/>
      <c r="Q578" s="37" t="str">
        <f t="shared" ca="1" si="0"/>
        <v/>
      </c>
      <c r="R578" s="52"/>
      <c r="S578" s="52"/>
      <c r="T578" s="52"/>
      <c r="U578" s="61"/>
      <c r="V578" s="62"/>
      <c r="W578" s="63"/>
      <c r="X578" s="64"/>
      <c r="Y578" s="18"/>
      <c r="Z578" s="18"/>
      <c r="AA578" s="18"/>
      <c r="AB578" s="18"/>
    </row>
    <row r="579" spans="1:28">
      <c r="A579" s="51">
        <v>578</v>
      </c>
      <c r="B579" s="52"/>
      <c r="C579" s="61"/>
      <c r="D579" s="51"/>
      <c r="E579" s="51" t="s">
        <v>1788</v>
      </c>
      <c r="F579" s="55" t="s">
        <v>1789</v>
      </c>
      <c r="G579" s="56"/>
      <c r="H579" s="57"/>
      <c r="I579" s="51"/>
      <c r="J579" s="51">
        <f>6.5*1000</f>
        <v>6500</v>
      </c>
      <c r="K579" s="58">
        <v>2.7986111111111111E-2</v>
      </c>
      <c r="L579" s="59" t="s">
        <v>1781</v>
      </c>
      <c r="M579" s="51"/>
      <c r="N579" s="51"/>
      <c r="O579" s="51"/>
      <c r="P579" s="51"/>
      <c r="Q579" s="37" t="str">
        <f t="shared" ca="1" si="0"/>
        <v/>
      </c>
      <c r="R579" s="52"/>
      <c r="S579" s="52"/>
      <c r="T579" s="52"/>
      <c r="U579" s="61"/>
      <c r="V579" s="62"/>
      <c r="W579" s="63"/>
      <c r="X579" s="64"/>
      <c r="Y579" s="18"/>
      <c r="Z579" s="18"/>
      <c r="AA579" s="18"/>
      <c r="AB579" s="18"/>
    </row>
    <row r="580" spans="1:28">
      <c r="A580" s="51">
        <v>579</v>
      </c>
      <c r="B580" s="69" t="s">
        <v>98</v>
      </c>
      <c r="C580" s="61"/>
      <c r="D580" s="51"/>
      <c r="E580" s="51" t="s">
        <v>1790</v>
      </c>
      <c r="F580" s="55" t="s">
        <v>1791</v>
      </c>
      <c r="G580" s="56"/>
      <c r="H580" s="57"/>
      <c r="I580" s="51"/>
      <c r="J580" s="51">
        <f>7.9*1000</f>
        <v>7900</v>
      </c>
      <c r="K580" s="58">
        <v>4.5439814814814815E-2</v>
      </c>
      <c r="L580" s="59" t="s">
        <v>1781</v>
      </c>
      <c r="M580" s="51"/>
      <c r="N580" s="51"/>
      <c r="O580" s="51"/>
      <c r="P580" s="51"/>
      <c r="Q580" s="37" t="str">
        <f t="shared" ca="1" si="0"/>
        <v/>
      </c>
      <c r="R580" s="52"/>
      <c r="S580" s="52"/>
      <c r="T580" s="52"/>
      <c r="U580" s="61"/>
      <c r="V580" s="62"/>
      <c r="W580" s="63"/>
      <c r="X580" s="64"/>
      <c r="Y580" s="18"/>
      <c r="Z580" s="18"/>
      <c r="AA580" s="18"/>
      <c r="AB580" s="18"/>
    </row>
    <row r="581" spans="1:28">
      <c r="A581" s="51">
        <v>580</v>
      </c>
      <c r="B581" s="52"/>
      <c r="C581" s="61"/>
      <c r="D581" s="51"/>
      <c r="E581" s="51" t="s">
        <v>1792</v>
      </c>
      <c r="F581" s="55" t="s">
        <v>1793</v>
      </c>
      <c r="G581" s="56"/>
      <c r="H581" s="57"/>
      <c r="I581" s="51"/>
      <c r="J581" s="51">
        <f>520</f>
        <v>520</v>
      </c>
      <c r="K581" s="58">
        <v>1.3541666666666667E-3</v>
      </c>
      <c r="L581" s="59" t="s">
        <v>1781</v>
      </c>
      <c r="M581" s="51"/>
      <c r="N581" s="51"/>
      <c r="O581" s="51"/>
      <c r="P581" s="51"/>
      <c r="Q581" s="37" t="str">
        <f t="shared" ca="1" si="0"/>
        <v/>
      </c>
      <c r="R581" s="52"/>
      <c r="S581" s="52"/>
      <c r="T581" s="52"/>
      <c r="U581" s="61"/>
      <c r="V581" s="62"/>
      <c r="W581" s="63"/>
      <c r="X581" s="64"/>
      <c r="Y581" s="18"/>
      <c r="Z581" s="18"/>
      <c r="AA581" s="18"/>
      <c r="AB581" s="18"/>
    </row>
    <row r="582" spans="1:28">
      <c r="A582" s="51">
        <v>581</v>
      </c>
      <c r="B582" s="52"/>
      <c r="C582" s="61"/>
      <c r="D582" s="51"/>
      <c r="E582" s="51" t="s">
        <v>1794</v>
      </c>
      <c r="F582" s="55" t="s">
        <v>1795</v>
      </c>
      <c r="G582" s="56"/>
      <c r="H582" s="57"/>
      <c r="I582" s="51"/>
      <c r="J582" s="51">
        <f>658</f>
        <v>658</v>
      </c>
      <c r="K582" s="58">
        <v>3.8657407407407408E-3</v>
      </c>
      <c r="L582" s="59" t="s">
        <v>1781</v>
      </c>
      <c r="M582" s="51"/>
      <c r="N582" s="51"/>
      <c r="O582" s="51"/>
      <c r="P582" s="51"/>
      <c r="Q582" s="37" t="str">
        <f t="shared" ca="1" si="0"/>
        <v/>
      </c>
      <c r="R582" s="52"/>
      <c r="S582" s="52"/>
      <c r="T582" s="52"/>
      <c r="U582" s="61"/>
      <c r="V582" s="62"/>
      <c r="W582" s="63"/>
      <c r="X582" s="64"/>
      <c r="Y582" s="18"/>
      <c r="Z582" s="18"/>
      <c r="AA582" s="18"/>
      <c r="AB582" s="18"/>
    </row>
    <row r="583" spans="1:28">
      <c r="A583" s="51">
        <v>582</v>
      </c>
      <c r="B583" s="52"/>
      <c r="C583" s="61"/>
      <c r="D583" s="51"/>
      <c r="E583" s="51" t="s">
        <v>1796</v>
      </c>
      <c r="F583" s="55" t="s">
        <v>1797</v>
      </c>
      <c r="G583" s="56"/>
      <c r="H583" s="57"/>
      <c r="I583" s="51"/>
      <c r="J583" s="51">
        <f>457</f>
        <v>457</v>
      </c>
      <c r="K583" s="58">
        <v>2.685185185185185E-3</v>
      </c>
      <c r="L583" s="59" t="s">
        <v>1781</v>
      </c>
      <c r="M583" s="51"/>
      <c r="N583" s="51"/>
      <c r="O583" s="51"/>
      <c r="P583" s="51"/>
      <c r="Q583" s="37" t="str">
        <f t="shared" ca="1" si="0"/>
        <v/>
      </c>
      <c r="R583" s="52"/>
      <c r="S583" s="52"/>
      <c r="T583" s="52"/>
      <c r="U583" s="61"/>
      <c r="V583" s="62"/>
      <c r="W583" s="63"/>
      <c r="X583" s="64"/>
      <c r="Y583" s="18"/>
      <c r="Z583" s="18"/>
      <c r="AA583" s="18"/>
      <c r="AB583" s="18"/>
    </row>
    <row r="584" spans="1:28">
      <c r="A584" s="51">
        <v>583</v>
      </c>
      <c r="B584" s="52"/>
      <c r="C584" s="61"/>
      <c r="D584" s="51"/>
      <c r="E584" s="51" t="s">
        <v>1798</v>
      </c>
      <c r="F584" s="55" t="s">
        <v>1799</v>
      </c>
      <c r="G584" s="56"/>
      <c r="H584" s="57"/>
      <c r="I584" s="51"/>
      <c r="J584" s="51">
        <f>689</f>
        <v>689</v>
      </c>
      <c r="K584" s="58">
        <v>1.4583333333333334E-3</v>
      </c>
      <c r="L584" s="59" t="s">
        <v>1781</v>
      </c>
      <c r="M584" s="51"/>
      <c r="N584" s="51"/>
      <c r="O584" s="51"/>
      <c r="P584" s="51"/>
      <c r="Q584" s="37" t="str">
        <f t="shared" ca="1" si="0"/>
        <v/>
      </c>
      <c r="R584" s="52"/>
      <c r="S584" s="52"/>
      <c r="T584" s="52"/>
      <c r="U584" s="61"/>
      <c r="V584" s="62"/>
      <c r="W584" s="63"/>
      <c r="X584" s="64"/>
      <c r="Y584" s="18"/>
      <c r="Z584" s="18"/>
      <c r="AA584" s="18"/>
      <c r="AB584" s="18"/>
    </row>
    <row r="585" spans="1:28">
      <c r="A585" s="51">
        <v>584</v>
      </c>
      <c r="B585" s="52"/>
      <c r="C585" s="61"/>
      <c r="D585" s="51"/>
      <c r="E585" s="51" t="s">
        <v>1800</v>
      </c>
      <c r="F585" s="55" t="s">
        <v>1801</v>
      </c>
      <c r="G585" s="56"/>
      <c r="H585" s="57"/>
      <c r="I585" s="51"/>
      <c r="J585" s="51">
        <f>422</f>
        <v>422</v>
      </c>
      <c r="K585" s="58">
        <v>2.627314814814815E-3</v>
      </c>
      <c r="L585" s="59" t="s">
        <v>1781</v>
      </c>
      <c r="M585" s="51"/>
      <c r="N585" s="51"/>
      <c r="O585" s="51"/>
      <c r="P585" s="51"/>
      <c r="Q585" s="37" t="str">
        <f t="shared" ca="1" si="0"/>
        <v/>
      </c>
      <c r="R585" s="52"/>
      <c r="S585" s="52"/>
      <c r="T585" s="52"/>
      <c r="U585" s="61"/>
      <c r="V585" s="62"/>
      <c r="W585" s="63"/>
      <c r="X585" s="64"/>
      <c r="Y585" s="18"/>
      <c r="Z585" s="18"/>
      <c r="AA585" s="18"/>
      <c r="AB585" s="18"/>
    </row>
    <row r="586" spans="1:28">
      <c r="A586" s="51">
        <v>585</v>
      </c>
      <c r="B586" s="52"/>
      <c r="C586" s="61"/>
      <c r="D586" s="51"/>
      <c r="E586" s="51" t="s">
        <v>1802</v>
      </c>
      <c r="F586" s="55" t="s">
        <v>1803</v>
      </c>
      <c r="G586" s="56"/>
      <c r="H586" s="57"/>
      <c r="I586" s="51"/>
      <c r="J586" s="51">
        <f>393</f>
        <v>393</v>
      </c>
      <c r="K586" s="58">
        <v>2.0486111111111113E-3</v>
      </c>
      <c r="L586" s="59" t="s">
        <v>1781</v>
      </c>
      <c r="M586" s="51"/>
      <c r="N586" s="51"/>
      <c r="O586" s="51"/>
      <c r="P586" s="51"/>
      <c r="Q586" s="37" t="str">
        <f t="shared" ca="1" si="0"/>
        <v/>
      </c>
      <c r="R586" s="52"/>
      <c r="S586" s="52"/>
      <c r="T586" s="52"/>
      <c r="U586" s="61"/>
      <c r="V586" s="62"/>
      <c r="W586" s="63"/>
      <c r="X586" s="64"/>
      <c r="Y586" s="18"/>
      <c r="Z586" s="18"/>
      <c r="AA586" s="18"/>
      <c r="AB586" s="18"/>
    </row>
    <row r="587" spans="1:28">
      <c r="A587" s="51">
        <v>586</v>
      </c>
      <c r="B587" s="52"/>
      <c r="C587" s="61"/>
      <c r="D587" s="51"/>
      <c r="E587" s="51" t="s">
        <v>1804</v>
      </c>
      <c r="F587" s="55" t="s">
        <v>1805</v>
      </c>
      <c r="G587" s="56"/>
      <c r="H587" s="57"/>
      <c r="I587" s="51"/>
      <c r="J587" s="51">
        <f>397</f>
        <v>397</v>
      </c>
      <c r="K587" s="58">
        <v>2.0138888888888888E-3</v>
      </c>
      <c r="L587" s="59" t="s">
        <v>1781</v>
      </c>
      <c r="M587" s="51"/>
      <c r="N587" s="51"/>
      <c r="O587" s="51"/>
      <c r="P587" s="51"/>
      <c r="Q587" s="37" t="str">
        <f t="shared" ca="1" si="0"/>
        <v/>
      </c>
      <c r="R587" s="52"/>
      <c r="S587" s="52"/>
      <c r="T587" s="52"/>
      <c r="U587" s="61"/>
      <c r="V587" s="62"/>
      <c r="W587" s="63"/>
      <c r="X587" s="64"/>
      <c r="Y587" s="18"/>
      <c r="Z587" s="18"/>
      <c r="AA587" s="18"/>
      <c r="AB587" s="18"/>
    </row>
    <row r="588" spans="1:28">
      <c r="A588" s="51">
        <v>587</v>
      </c>
      <c r="B588" s="52"/>
      <c r="C588" s="61"/>
      <c r="D588" s="51"/>
      <c r="E588" s="51" t="s">
        <v>1806</v>
      </c>
      <c r="F588" s="55" t="s">
        <v>1807</v>
      </c>
      <c r="G588" s="56"/>
      <c r="H588" s="57"/>
      <c r="I588" s="51"/>
      <c r="J588" s="51">
        <f>1*1000</f>
        <v>1000</v>
      </c>
      <c r="K588" s="58">
        <v>1.6666666666666668E-3</v>
      </c>
      <c r="L588" s="59" t="s">
        <v>1781</v>
      </c>
      <c r="M588" s="51"/>
      <c r="N588" s="51"/>
      <c r="O588" s="51"/>
      <c r="P588" s="51"/>
      <c r="Q588" s="37" t="str">
        <f t="shared" ca="1" si="0"/>
        <v/>
      </c>
      <c r="R588" s="52"/>
      <c r="S588" s="52"/>
      <c r="T588" s="52"/>
      <c r="U588" s="61"/>
      <c r="V588" s="62"/>
      <c r="W588" s="63"/>
      <c r="X588" s="64"/>
      <c r="Y588" s="18"/>
      <c r="Z588" s="18"/>
      <c r="AA588" s="18"/>
      <c r="AB588" s="18"/>
    </row>
    <row r="589" spans="1:28">
      <c r="A589" s="51">
        <v>588</v>
      </c>
      <c r="B589" s="52"/>
      <c r="C589" s="61"/>
      <c r="D589" s="51"/>
      <c r="E589" s="51" t="s">
        <v>1808</v>
      </c>
      <c r="F589" s="55" t="s">
        <v>1809</v>
      </c>
      <c r="G589" s="56"/>
      <c r="H589" s="57"/>
      <c r="I589" s="51"/>
      <c r="J589" s="51">
        <f>506</f>
        <v>506</v>
      </c>
      <c r="K589" s="58">
        <v>2.9166666666666668E-3</v>
      </c>
      <c r="L589" s="59" t="s">
        <v>1781</v>
      </c>
      <c r="M589" s="51"/>
      <c r="N589" s="51"/>
      <c r="O589" s="51"/>
      <c r="P589" s="51"/>
      <c r="Q589" s="37" t="str">
        <f t="shared" ca="1" si="0"/>
        <v/>
      </c>
      <c r="R589" s="52"/>
      <c r="S589" s="52"/>
      <c r="T589" s="52"/>
      <c r="U589" s="61"/>
      <c r="V589" s="62"/>
      <c r="W589" s="63"/>
      <c r="X589" s="64"/>
      <c r="Y589" s="18"/>
      <c r="Z589" s="18"/>
      <c r="AA589" s="18"/>
      <c r="AB589" s="18"/>
    </row>
    <row r="590" spans="1:28">
      <c r="A590" s="51">
        <v>589</v>
      </c>
      <c r="B590" s="69" t="s">
        <v>98</v>
      </c>
      <c r="C590" s="53"/>
      <c r="D590" s="54" t="s">
        <v>93</v>
      </c>
      <c r="E590" s="51" t="s">
        <v>1810</v>
      </c>
      <c r="F590" s="55" t="s">
        <v>1811</v>
      </c>
      <c r="G590" s="56"/>
      <c r="H590" s="57"/>
      <c r="I590" s="51"/>
      <c r="J590" s="51">
        <f>25*1000</f>
        <v>25000</v>
      </c>
      <c r="K590" s="58">
        <v>6.9039351851851852E-2</v>
      </c>
      <c r="L590" s="59" t="s">
        <v>1781</v>
      </c>
      <c r="M590" s="51"/>
      <c r="N590" s="51"/>
      <c r="O590" s="51"/>
      <c r="P590" s="51"/>
      <c r="Q590" s="37" t="str">
        <f t="shared" ca="1" si="0"/>
        <v/>
      </c>
      <c r="R590" s="52"/>
      <c r="S590" s="52"/>
      <c r="T590" s="52"/>
      <c r="U590" s="61"/>
      <c r="V590" s="62"/>
      <c r="W590" s="63"/>
      <c r="X590" s="64"/>
      <c r="Y590" s="18"/>
      <c r="Z590" s="18"/>
      <c r="AA590" s="18"/>
      <c r="AB590" s="18"/>
    </row>
    <row r="591" spans="1:28">
      <c r="A591" s="51">
        <v>590</v>
      </c>
      <c r="B591" s="52"/>
      <c r="C591" s="61"/>
      <c r="D591" s="51"/>
      <c r="E591" s="51" t="s">
        <v>1812</v>
      </c>
      <c r="F591" s="55" t="s">
        <v>1813</v>
      </c>
      <c r="G591" s="56"/>
      <c r="H591" s="57"/>
      <c r="I591" s="51"/>
      <c r="J591" s="51">
        <f>922</f>
        <v>922</v>
      </c>
      <c r="K591" s="58">
        <v>3.7962962962962963E-3</v>
      </c>
      <c r="L591" s="59" t="s">
        <v>1781</v>
      </c>
      <c r="M591" s="51"/>
      <c r="N591" s="51"/>
      <c r="O591" s="51"/>
      <c r="P591" s="51"/>
      <c r="Q591" s="37" t="str">
        <f t="shared" ca="1" si="0"/>
        <v/>
      </c>
      <c r="R591" s="52"/>
      <c r="S591" s="52"/>
      <c r="T591" s="52"/>
      <c r="U591" s="61"/>
      <c r="V591" s="62"/>
      <c r="W591" s="63"/>
      <c r="X591" s="64"/>
      <c r="Y591" s="18"/>
      <c r="Z591" s="18"/>
      <c r="AA591" s="18"/>
      <c r="AB591" s="18"/>
    </row>
    <row r="592" spans="1:28">
      <c r="A592" s="51">
        <v>591</v>
      </c>
      <c r="B592" s="52"/>
      <c r="C592" s="61"/>
      <c r="D592" s="51"/>
      <c r="E592" s="51" t="s">
        <v>1814</v>
      </c>
      <c r="F592" s="55" t="s">
        <v>1815</v>
      </c>
      <c r="G592" s="56"/>
      <c r="H592" s="57"/>
      <c r="I592" s="51"/>
      <c r="J592" s="51">
        <f>931</f>
        <v>931</v>
      </c>
      <c r="K592" s="58">
        <v>3.7152777777777774E-3</v>
      </c>
      <c r="L592" s="59" t="s">
        <v>1816</v>
      </c>
      <c r="M592" s="51"/>
      <c r="N592" s="51"/>
      <c r="O592" s="51"/>
      <c r="P592" s="51"/>
      <c r="Q592" s="37" t="str">
        <f t="shared" ca="1" si="0"/>
        <v/>
      </c>
      <c r="R592" s="52"/>
      <c r="S592" s="52"/>
      <c r="T592" s="52"/>
      <c r="U592" s="61"/>
      <c r="V592" s="62"/>
      <c r="W592" s="63"/>
      <c r="X592" s="64"/>
      <c r="Y592" s="18"/>
      <c r="Z592" s="18"/>
      <c r="AA592" s="18"/>
      <c r="AB592" s="18"/>
    </row>
    <row r="593" spans="1:28">
      <c r="A593" s="51">
        <v>592</v>
      </c>
      <c r="B593" s="52"/>
      <c r="C593" s="61"/>
      <c r="D593" s="51"/>
      <c r="E593" s="51" t="s">
        <v>1817</v>
      </c>
      <c r="F593" s="55" t="s">
        <v>1818</v>
      </c>
      <c r="G593" s="56"/>
      <c r="H593" s="57"/>
      <c r="I593" s="51"/>
      <c r="J593" s="51">
        <f>799</f>
        <v>799</v>
      </c>
      <c r="K593" s="58">
        <v>2.7777777777777779E-3</v>
      </c>
      <c r="L593" s="59" t="s">
        <v>1816</v>
      </c>
      <c r="M593" s="51"/>
      <c r="N593" s="51"/>
      <c r="O593" s="51"/>
      <c r="P593" s="51"/>
      <c r="Q593" s="37" t="str">
        <f t="shared" ca="1" si="0"/>
        <v/>
      </c>
      <c r="R593" s="52"/>
      <c r="S593" s="52"/>
      <c r="T593" s="52"/>
      <c r="U593" s="61"/>
      <c r="V593" s="62"/>
      <c r="W593" s="63"/>
      <c r="X593" s="64"/>
      <c r="Y593" s="18"/>
      <c r="Z593" s="18"/>
      <c r="AA593" s="18"/>
      <c r="AB593" s="18"/>
    </row>
    <row r="594" spans="1:28">
      <c r="A594" s="51">
        <v>593</v>
      </c>
      <c r="B594" s="52"/>
      <c r="C594" s="61"/>
      <c r="D594" s="51"/>
      <c r="E594" s="51" t="s">
        <v>1819</v>
      </c>
      <c r="F594" s="55" t="s">
        <v>1820</v>
      </c>
      <c r="G594" s="56"/>
      <c r="H594" s="57"/>
      <c r="I594" s="51"/>
      <c r="J594" s="51">
        <f>783</f>
        <v>783</v>
      </c>
      <c r="K594" s="58">
        <v>3.7268518518518514E-3</v>
      </c>
      <c r="L594" s="59" t="s">
        <v>1816</v>
      </c>
      <c r="M594" s="51"/>
      <c r="N594" s="51"/>
      <c r="O594" s="51"/>
      <c r="P594" s="51"/>
      <c r="Q594" s="37" t="str">
        <f t="shared" ca="1" si="0"/>
        <v/>
      </c>
      <c r="R594" s="52"/>
      <c r="S594" s="52"/>
      <c r="T594" s="52"/>
      <c r="U594" s="61"/>
      <c r="V594" s="62"/>
      <c r="W594" s="63"/>
      <c r="X594" s="64"/>
      <c r="Y594" s="18"/>
      <c r="Z594" s="18"/>
      <c r="AA594" s="18"/>
      <c r="AB594" s="18"/>
    </row>
    <row r="595" spans="1:28">
      <c r="A595" s="51">
        <v>594</v>
      </c>
      <c r="B595" s="52"/>
      <c r="C595" s="61"/>
      <c r="D595" s="51"/>
      <c r="E595" s="51" t="s">
        <v>1821</v>
      </c>
      <c r="F595" s="55" t="s">
        <v>1822</v>
      </c>
      <c r="G595" s="56"/>
      <c r="H595" s="57"/>
      <c r="I595" s="51"/>
      <c r="J595" s="51">
        <f>1*1000</f>
        <v>1000</v>
      </c>
      <c r="K595" s="58">
        <v>1.0891203703703703E-2</v>
      </c>
      <c r="L595" s="59" t="s">
        <v>1816</v>
      </c>
      <c r="M595" s="51"/>
      <c r="N595" s="51"/>
      <c r="O595" s="51"/>
      <c r="P595" s="51"/>
      <c r="Q595" s="37" t="str">
        <f t="shared" ca="1" si="0"/>
        <v/>
      </c>
      <c r="R595" s="52"/>
      <c r="S595" s="52"/>
      <c r="T595" s="52"/>
      <c r="U595" s="61"/>
      <c r="V595" s="62"/>
      <c r="W595" s="63"/>
      <c r="X595" s="64"/>
      <c r="Y595" s="18"/>
      <c r="Z595" s="18"/>
      <c r="AA595" s="18"/>
      <c r="AB595" s="18"/>
    </row>
    <row r="596" spans="1:28">
      <c r="A596" s="51">
        <v>595</v>
      </c>
      <c r="B596" s="52"/>
      <c r="C596" s="61"/>
      <c r="D596" s="51"/>
      <c r="E596" s="51" t="s">
        <v>1823</v>
      </c>
      <c r="F596" s="55" t="s">
        <v>1824</v>
      </c>
      <c r="G596" s="56"/>
      <c r="H596" s="57"/>
      <c r="I596" s="51"/>
      <c r="J596" s="51">
        <f>13*1000</f>
        <v>13000</v>
      </c>
      <c r="K596" s="58">
        <v>1.2939814814814814E-2</v>
      </c>
      <c r="L596" s="59" t="s">
        <v>1816</v>
      </c>
      <c r="M596" s="51"/>
      <c r="N596" s="51"/>
      <c r="O596" s="51"/>
      <c r="P596" s="51"/>
      <c r="Q596" s="37" t="str">
        <f t="shared" ca="1" si="0"/>
        <v/>
      </c>
      <c r="R596" s="52"/>
      <c r="S596" s="52"/>
      <c r="T596" s="52"/>
      <c r="U596" s="61"/>
      <c r="V596" s="62"/>
      <c r="W596" s="63"/>
      <c r="X596" s="64"/>
      <c r="Y596" s="18"/>
      <c r="Z596" s="18"/>
      <c r="AA596" s="18"/>
      <c r="AB596" s="18"/>
    </row>
    <row r="597" spans="1:28">
      <c r="A597" s="51">
        <v>596</v>
      </c>
      <c r="B597" s="52"/>
      <c r="C597" s="61"/>
      <c r="D597" s="51"/>
      <c r="E597" s="51" t="s">
        <v>1825</v>
      </c>
      <c r="F597" s="55" t="s">
        <v>1826</v>
      </c>
      <c r="G597" s="56"/>
      <c r="H597" s="57"/>
      <c r="I597" s="51"/>
      <c r="J597" s="51">
        <f>20*1000</f>
        <v>20000</v>
      </c>
      <c r="K597" s="58">
        <v>2.989583333333333E-2</v>
      </c>
      <c r="L597" s="59" t="s">
        <v>1816</v>
      </c>
      <c r="M597" s="51"/>
      <c r="N597" s="51"/>
      <c r="O597" s="51"/>
      <c r="P597" s="51"/>
      <c r="Q597" s="37" t="str">
        <f t="shared" ca="1" si="0"/>
        <v/>
      </c>
      <c r="R597" s="52"/>
      <c r="S597" s="52"/>
      <c r="T597" s="52"/>
      <c r="U597" s="61"/>
      <c r="V597" s="62"/>
      <c r="W597" s="63"/>
      <c r="X597" s="64"/>
      <c r="Y597" s="18"/>
      <c r="Z597" s="18"/>
      <c r="AA597" s="18"/>
      <c r="AB597" s="18"/>
    </row>
    <row r="598" spans="1:28">
      <c r="A598" s="51">
        <v>597</v>
      </c>
      <c r="B598" s="69" t="s">
        <v>98</v>
      </c>
      <c r="C598" s="61"/>
      <c r="D598" s="54" t="s">
        <v>128</v>
      </c>
      <c r="E598" s="51" t="s">
        <v>1827</v>
      </c>
      <c r="F598" s="55" t="s">
        <v>1828</v>
      </c>
      <c r="G598" s="56"/>
      <c r="H598" s="57"/>
      <c r="I598" s="51"/>
      <c r="J598" s="51">
        <f>5.6*1000</f>
        <v>5600</v>
      </c>
      <c r="K598" s="58">
        <v>1.7349537037037038E-2</v>
      </c>
      <c r="L598" s="59" t="s">
        <v>1816</v>
      </c>
      <c r="M598" s="51"/>
      <c r="N598" s="51"/>
      <c r="O598" s="51"/>
      <c r="P598" s="51"/>
      <c r="Q598" s="37" t="str">
        <f t="shared" ca="1" si="0"/>
        <v/>
      </c>
      <c r="R598" s="52"/>
      <c r="S598" s="52"/>
      <c r="T598" s="52"/>
      <c r="U598" s="61"/>
      <c r="V598" s="62"/>
      <c r="W598" s="63"/>
      <c r="X598" s="64"/>
      <c r="Y598" s="18"/>
      <c r="Z598" s="18"/>
      <c r="AA598" s="18"/>
      <c r="AB598" s="18"/>
    </row>
    <row r="599" spans="1:28">
      <c r="A599" s="51">
        <v>598</v>
      </c>
      <c r="B599" s="52"/>
      <c r="C599" s="61"/>
      <c r="D599" s="51"/>
      <c r="E599" s="51" t="s">
        <v>1829</v>
      </c>
      <c r="F599" s="55" t="s">
        <v>1830</v>
      </c>
      <c r="G599" s="56"/>
      <c r="H599" s="57"/>
      <c r="I599" s="51"/>
      <c r="J599" s="51">
        <f>909</f>
        <v>909</v>
      </c>
      <c r="K599" s="58">
        <v>4.9305555555555552E-3</v>
      </c>
      <c r="L599" s="59" t="s">
        <v>1816</v>
      </c>
      <c r="M599" s="51"/>
      <c r="N599" s="51"/>
      <c r="O599" s="51"/>
      <c r="P599" s="51"/>
      <c r="Q599" s="37" t="str">
        <f t="shared" ca="1" si="0"/>
        <v/>
      </c>
      <c r="R599" s="52"/>
      <c r="S599" s="52"/>
      <c r="T599" s="52"/>
      <c r="U599" s="61"/>
      <c r="V599" s="62"/>
      <c r="W599" s="63"/>
      <c r="X599" s="64"/>
      <c r="Y599" s="18"/>
      <c r="Z599" s="18"/>
      <c r="AA599" s="18"/>
      <c r="AB599" s="18"/>
    </row>
    <row r="600" spans="1:28">
      <c r="A600" s="51">
        <v>599</v>
      </c>
      <c r="B600" s="52"/>
      <c r="C600" s="61"/>
      <c r="D600" s="51"/>
      <c r="E600" s="51" t="s">
        <v>1831</v>
      </c>
      <c r="F600" s="55" t="s">
        <v>1832</v>
      </c>
      <c r="G600" s="56"/>
      <c r="H600" s="57"/>
      <c r="I600" s="51"/>
      <c r="J600" s="51">
        <f>366</f>
        <v>366</v>
      </c>
      <c r="K600" s="58">
        <v>3.9699074074074072E-3</v>
      </c>
      <c r="L600" s="59" t="s">
        <v>1816</v>
      </c>
      <c r="M600" s="51"/>
      <c r="N600" s="51"/>
      <c r="O600" s="51"/>
      <c r="P600" s="51"/>
      <c r="Q600" s="37" t="str">
        <f t="shared" ca="1" si="0"/>
        <v/>
      </c>
      <c r="R600" s="52"/>
      <c r="S600" s="52"/>
      <c r="T600" s="52"/>
      <c r="U600" s="61"/>
      <c r="V600" s="62"/>
      <c r="W600" s="63"/>
      <c r="X600" s="64"/>
      <c r="Y600" s="18"/>
      <c r="Z600" s="18"/>
      <c r="AA600" s="18"/>
      <c r="AB600" s="18"/>
    </row>
    <row r="601" spans="1:28">
      <c r="A601" s="51">
        <v>600</v>
      </c>
      <c r="B601" s="52"/>
      <c r="C601" s="61"/>
      <c r="D601" s="51"/>
      <c r="E601" s="51" t="s">
        <v>1833</v>
      </c>
      <c r="F601" s="55" t="s">
        <v>1834</v>
      </c>
      <c r="G601" s="56"/>
      <c r="H601" s="57"/>
      <c r="I601" s="51"/>
      <c r="J601" s="51">
        <f>559</f>
        <v>559</v>
      </c>
      <c r="K601" s="58">
        <v>1.8287037037037037E-3</v>
      </c>
      <c r="L601" s="59" t="s">
        <v>1816</v>
      </c>
      <c r="M601" s="51"/>
      <c r="N601" s="51"/>
      <c r="O601" s="51"/>
      <c r="P601" s="51"/>
      <c r="Q601" s="37" t="str">
        <f t="shared" ca="1" si="0"/>
        <v/>
      </c>
      <c r="R601" s="52"/>
      <c r="S601" s="52"/>
      <c r="T601" s="52"/>
      <c r="U601" s="61"/>
      <c r="V601" s="62"/>
      <c r="W601" s="63"/>
      <c r="X601" s="64"/>
      <c r="Y601" s="18"/>
      <c r="Z601" s="18"/>
      <c r="AA601" s="18"/>
      <c r="AB601" s="18"/>
    </row>
    <row r="602" spans="1:28">
      <c r="A602" s="51">
        <v>601</v>
      </c>
      <c r="B602" s="52"/>
      <c r="C602" s="61"/>
      <c r="D602" s="51"/>
      <c r="E602" s="51" t="s">
        <v>1835</v>
      </c>
      <c r="F602" s="55" t="s">
        <v>1836</v>
      </c>
      <c r="G602" s="56"/>
      <c r="H602" s="57"/>
      <c r="I602" s="51"/>
      <c r="J602" s="51">
        <f>511</f>
        <v>511</v>
      </c>
      <c r="K602" s="58">
        <v>1.7824074074074072E-3</v>
      </c>
      <c r="L602" s="59" t="s">
        <v>1816</v>
      </c>
      <c r="M602" s="51"/>
      <c r="N602" s="51"/>
      <c r="O602" s="51"/>
      <c r="P602" s="51"/>
      <c r="Q602" s="37" t="str">
        <f t="shared" ca="1" si="0"/>
        <v/>
      </c>
      <c r="R602" s="52"/>
      <c r="S602" s="52"/>
      <c r="T602" s="52"/>
      <c r="U602" s="61"/>
      <c r="V602" s="62"/>
      <c r="W602" s="63"/>
      <c r="X602" s="64"/>
      <c r="Y602" s="18"/>
      <c r="Z602" s="18"/>
      <c r="AA602" s="18"/>
      <c r="AB602" s="18"/>
    </row>
    <row r="603" spans="1:28">
      <c r="A603" s="51">
        <v>602</v>
      </c>
      <c r="B603" s="52"/>
      <c r="C603" s="61"/>
      <c r="D603" s="51"/>
      <c r="E603" s="51" t="s">
        <v>1837</v>
      </c>
      <c r="F603" s="55" t="s">
        <v>1838</v>
      </c>
      <c r="G603" s="56"/>
      <c r="H603" s="57"/>
      <c r="I603" s="51"/>
      <c r="J603" s="51">
        <f t="shared" ref="J603:J604" si="11">1*1000</f>
        <v>1000</v>
      </c>
      <c r="K603" s="58">
        <v>5.6481481481481478E-3</v>
      </c>
      <c r="L603" s="59" t="s">
        <v>1816</v>
      </c>
      <c r="M603" s="51"/>
      <c r="N603" s="51"/>
      <c r="O603" s="51"/>
      <c r="P603" s="51"/>
      <c r="Q603" s="37" t="str">
        <f t="shared" ca="1" si="0"/>
        <v/>
      </c>
      <c r="R603" s="52"/>
      <c r="S603" s="52"/>
      <c r="T603" s="52"/>
      <c r="U603" s="61"/>
      <c r="V603" s="62"/>
      <c r="W603" s="63"/>
      <c r="X603" s="64"/>
      <c r="Y603" s="18"/>
      <c r="Z603" s="18"/>
      <c r="AA603" s="18"/>
      <c r="AB603" s="18"/>
    </row>
    <row r="604" spans="1:28">
      <c r="A604" s="51">
        <v>603</v>
      </c>
      <c r="B604" s="52"/>
      <c r="C604" s="61"/>
      <c r="D604" s="51"/>
      <c r="E604" s="51" t="s">
        <v>1839</v>
      </c>
      <c r="F604" s="55" t="s">
        <v>1840</v>
      </c>
      <c r="G604" s="56"/>
      <c r="H604" s="57"/>
      <c r="I604" s="51"/>
      <c r="J604" s="51">
        <f t="shared" si="11"/>
        <v>1000</v>
      </c>
      <c r="K604" s="58">
        <v>1.9791666666666668E-3</v>
      </c>
      <c r="L604" s="59" t="s">
        <v>1816</v>
      </c>
      <c r="M604" s="51"/>
      <c r="N604" s="51"/>
      <c r="O604" s="51"/>
      <c r="P604" s="51"/>
      <c r="Q604" s="37" t="str">
        <f t="shared" ca="1" si="0"/>
        <v/>
      </c>
      <c r="R604" s="52"/>
      <c r="S604" s="52"/>
      <c r="T604" s="52"/>
      <c r="U604" s="61"/>
      <c r="V604" s="62"/>
      <c r="W604" s="63"/>
      <c r="X604" s="64"/>
      <c r="Y604" s="18"/>
      <c r="Z604" s="18"/>
      <c r="AA604" s="18"/>
      <c r="AB604" s="18"/>
    </row>
    <row r="605" spans="1:28">
      <c r="A605" s="51">
        <v>604</v>
      </c>
      <c r="B605" s="52"/>
      <c r="C605" s="61"/>
      <c r="D605" s="51"/>
      <c r="E605" s="51" t="s">
        <v>1841</v>
      </c>
      <c r="F605" s="55" t="s">
        <v>1842</v>
      </c>
      <c r="G605" s="56"/>
      <c r="H605" s="57"/>
      <c r="I605" s="51"/>
      <c r="J605" s="51">
        <f>1.7*1000</f>
        <v>1700</v>
      </c>
      <c r="K605" s="58">
        <v>3.9351851851851857E-3</v>
      </c>
      <c r="L605" s="59" t="s">
        <v>1816</v>
      </c>
      <c r="M605" s="51"/>
      <c r="N605" s="51"/>
      <c r="O605" s="51"/>
      <c r="P605" s="51"/>
      <c r="Q605" s="37" t="str">
        <f t="shared" ca="1" si="0"/>
        <v/>
      </c>
      <c r="R605" s="52"/>
      <c r="S605" s="52"/>
      <c r="T605" s="52"/>
      <c r="U605" s="61"/>
      <c r="V605" s="62"/>
      <c r="W605" s="63"/>
      <c r="X605" s="64"/>
      <c r="Y605" s="18"/>
      <c r="Z605" s="18"/>
      <c r="AA605" s="18"/>
      <c r="AB605" s="18"/>
    </row>
    <row r="606" spans="1:28">
      <c r="A606" s="51">
        <v>605</v>
      </c>
      <c r="B606" s="52"/>
      <c r="C606" s="61"/>
      <c r="D606" s="51"/>
      <c r="E606" s="51" t="s">
        <v>1843</v>
      </c>
      <c r="F606" s="55" t="s">
        <v>1844</v>
      </c>
      <c r="G606" s="56"/>
      <c r="H606" s="57"/>
      <c r="I606" s="51"/>
      <c r="J606" s="51">
        <f>429</f>
        <v>429</v>
      </c>
      <c r="K606" s="58">
        <v>1.5972222222222221E-3</v>
      </c>
      <c r="L606" s="59" t="s">
        <v>1816</v>
      </c>
      <c r="M606" s="51"/>
      <c r="N606" s="51"/>
      <c r="O606" s="51"/>
      <c r="P606" s="51"/>
      <c r="Q606" s="37" t="str">
        <f t="shared" ca="1" si="0"/>
        <v/>
      </c>
      <c r="R606" s="52"/>
      <c r="S606" s="52"/>
      <c r="T606" s="52"/>
      <c r="U606" s="61"/>
      <c r="V606" s="62"/>
      <c r="W606" s="63"/>
      <c r="X606" s="64"/>
      <c r="Y606" s="18"/>
      <c r="Z606" s="18"/>
      <c r="AA606" s="18"/>
      <c r="AB606" s="18"/>
    </row>
    <row r="607" spans="1:28">
      <c r="A607" s="51">
        <v>606</v>
      </c>
      <c r="B607" s="52"/>
      <c r="C607" s="61"/>
      <c r="D607" s="51"/>
      <c r="E607" s="51" t="s">
        <v>1845</v>
      </c>
      <c r="F607" s="55" t="s">
        <v>1846</v>
      </c>
      <c r="G607" s="56"/>
      <c r="H607" s="57"/>
      <c r="I607" s="51"/>
      <c r="J607" s="51">
        <f>2.1*1000</f>
        <v>2100</v>
      </c>
      <c r="K607" s="58">
        <v>1.9791666666666668E-3</v>
      </c>
      <c r="L607" s="59" t="s">
        <v>1816</v>
      </c>
      <c r="M607" s="51"/>
      <c r="N607" s="51"/>
      <c r="O607" s="51"/>
      <c r="P607" s="51"/>
      <c r="Q607" s="37" t="str">
        <f t="shared" ca="1" si="0"/>
        <v/>
      </c>
      <c r="R607" s="52"/>
      <c r="S607" s="52"/>
      <c r="T607" s="52"/>
      <c r="U607" s="61"/>
      <c r="V607" s="62"/>
      <c r="W607" s="63"/>
      <c r="X607" s="64"/>
      <c r="Y607" s="18"/>
      <c r="Z607" s="18"/>
      <c r="AA607" s="18"/>
      <c r="AB607" s="18"/>
    </row>
    <row r="608" spans="1:28">
      <c r="A608" s="51">
        <v>607</v>
      </c>
      <c r="B608" s="52"/>
      <c r="C608" s="61"/>
      <c r="D608" s="51"/>
      <c r="E608" s="51" t="s">
        <v>1847</v>
      </c>
      <c r="F608" s="55" t="s">
        <v>1848</v>
      </c>
      <c r="G608" s="56"/>
      <c r="H608" s="57"/>
      <c r="I608" s="51"/>
      <c r="J608" s="51">
        <f>468</f>
        <v>468</v>
      </c>
      <c r="K608" s="58">
        <v>8.7962962962962962E-4</v>
      </c>
      <c r="L608" s="59" t="s">
        <v>1816</v>
      </c>
      <c r="M608" s="51"/>
      <c r="N608" s="51"/>
      <c r="O608" s="51"/>
      <c r="P608" s="51"/>
      <c r="Q608" s="37" t="str">
        <f t="shared" ca="1" si="0"/>
        <v/>
      </c>
      <c r="R608" s="52"/>
      <c r="S608" s="52"/>
      <c r="T608" s="52"/>
      <c r="U608" s="61"/>
      <c r="V608" s="62"/>
      <c r="W608" s="63"/>
      <c r="X608" s="64"/>
      <c r="Y608" s="18"/>
      <c r="Z608" s="18"/>
      <c r="AA608" s="18"/>
      <c r="AB608" s="18"/>
    </row>
    <row r="609" spans="1:28">
      <c r="A609" s="51">
        <v>608</v>
      </c>
      <c r="B609" s="52"/>
      <c r="C609" s="61"/>
      <c r="D609" s="51"/>
      <c r="E609" s="51" t="s">
        <v>1849</v>
      </c>
      <c r="F609" s="55" t="s">
        <v>1850</v>
      </c>
      <c r="G609" s="56"/>
      <c r="H609" s="57"/>
      <c r="I609" s="51"/>
      <c r="J609" s="51">
        <f>833</f>
        <v>833</v>
      </c>
      <c r="K609" s="58">
        <v>1.9907407407407408E-3</v>
      </c>
      <c r="L609" s="59" t="s">
        <v>1816</v>
      </c>
      <c r="M609" s="51"/>
      <c r="N609" s="51"/>
      <c r="O609" s="51"/>
      <c r="P609" s="51"/>
      <c r="Q609" s="37" t="str">
        <f t="shared" ca="1" si="0"/>
        <v/>
      </c>
      <c r="R609" s="52"/>
      <c r="S609" s="52"/>
      <c r="T609" s="52"/>
      <c r="U609" s="61"/>
      <c r="V609" s="62"/>
      <c r="W609" s="63"/>
      <c r="X609" s="64"/>
      <c r="Y609" s="18"/>
      <c r="Z609" s="18"/>
      <c r="AA609" s="18"/>
      <c r="AB609" s="18"/>
    </row>
    <row r="610" spans="1:28">
      <c r="A610" s="51">
        <v>609</v>
      </c>
      <c r="B610" s="52"/>
      <c r="C610" s="61"/>
      <c r="D610" s="51"/>
      <c r="E610" s="51" t="s">
        <v>1851</v>
      </c>
      <c r="F610" s="55" t="s">
        <v>1852</v>
      </c>
      <c r="G610" s="56"/>
      <c r="H610" s="57"/>
      <c r="I610" s="51"/>
      <c r="J610" s="51">
        <f>32*1000</f>
        <v>32000</v>
      </c>
      <c r="K610" s="58">
        <v>3.8900462962962963E-2</v>
      </c>
      <c r="L610" s="59" t="s">
        <v>1816</v>
      </c>
      <c r="M610" s="51"/>
      <c r="N610" s="51"/>
      <c r="O610" s="51"/>
      <c r="P610" s="51"/>
      <c r="Q610" s="37" t="str">
        <f t="shared" ca="1" si="0"/>
        <v/>
      </c>
      <c r="R610" s="52"/>
      <c r="S610" s="52"/>
      <c r="T610" s="52"/>
      <c r="U610" s="61"/>
      <c r="V610" s="62"/>
      <c r="W610" s="63"/>
      <c r="X610" s="64"/>
      <c r="Y610" s="18"/>
      <c r="Z610" s="18"/>
      <c r="AA610" s="18"/>
      <c r="AB610" s="18"/>
    </row>
    <row r="611" spans="1:28">
      <c r="A611" s="51">
        <v>610</v>
      </c>
      <c r="B611" s="52"/>
      <c r="C611" s="61"/>
      <c r="D611" s="51"/>
      <c r="E611" s="51" t="s">
        <v>1853</v>
      </c>
      <c r="F611" s="55" t="s">
        <v>1854</v>
      </c>
      <c r="G611" s="56"/>
      <c r="H611" s="57"/>
      <c r="I611" s="51"/>
      <c r="J611" s="51">
        <f>14*1000</f>
        <v>14000</v>
      </c>
      <c r="K611" s="58">
        <v>1.1423611111111112E-2</v>
      </c>
      <c r="L611" s="59" t="s">
        <v>1816</v>
      </c>
      <c r="M611" s="51"/>
      <c r="N611" s="51"/>
      <c r="O611" s="51"/>
      <c r="P611" s="51"/>
      <c r="Q611" s="37" t="str">
        <f t="shared" ca="1" si="0"/>
        <v/>
      </c>
      <c r="R611" s="52"/>
      <c r="S611" s="52"/>
      <c r="T611" s="52"/>
      <c r="U611" s="61"/>
      <c r="V611" s="62"/>
      <c r="W611" s="63"/>
      <c r="X611" s="64"/>
      <c r="Y611" s="18"/>
      <c r="Z611" s="18"/>
      <c r="AA611" s="18"/>
      <c r="AB611" s="18"/>
    </row>
    <row r="612" spans="1:28">
      <c r="A612" s="51">
        <v>611</v>
      </c>
      <c r="B612" s="52"/>
      <c r="C612" s="61"/>
      <c r="D612" s="51"/>
      <c r="E612" s="51" t="s">
        <v>1855</v>
      </c>
      <c r="F612" s="55" t="s">
        <v>1856</v>
      </c>
      <c r="G612" s="56"/>
      <c r="H612" s="57"/>
      <c r="I612" s="51"/>
      <c r="J612" s="51">
        <f>617</f>
        <v>617</v>
      </c>
      <c r="K612" s="58">
        <v>5.6481481481481478E-3</v>
      </c>
      <c r="L612" s="59" t="s">
        <v>1816</v>
      </c>
      <c r="M612" s="51"/>
      <c r="N612" s="51"/>
      <c r="O612" s="51"/>
      <c r="P612" s="51"/>
      <c r="Q612" s="37" t="str">
        <f t="shared" ca="1" si="0"/>
        <v/>
      </c>
      <c r="R612" s="52"/>
      <c r="S612" s="52"/>
      <c r="T612" s="52"/>
      <c r="U612" s="61"/>
      <c r="V612" s="62"/>
      <c r="W612" s="63"/>
      <c r="X612" s="64"/>
      <c r="Y612" s="18"/>
      <c r="Z612" s="18"/>
      <c r="AA612" s="18"/>
      <c r="AB612" s="18"/>
    </row>
    <row r="613" spans="1:28">
      <c r="A613" s="51">
        <v>612</v>
      </c>
      <c r="B613" s="52"/>
      <c r="C613" s="61"/>
      <c r="D613" s="51"/>
      <c r="E613" s="51" t="s">
        <v>1857</v>
      </c>
      <c r="F613" s="55" t="s">
        <v>1858</v>
      </c>
      <c r="G613" s="56"/>
      <c r="H613" s="57"/>
      <c r="I613" s="51"/>
      <c r="J613" s="51">
        <f>8.2*1000</f>
        <v>8200</v>
      </c>
      <c r="K613" s="58">
        <v>4.3622685185185188E-2</v>
      </c>
      <c r="L613" s="59" t="s">
        <v>1816</v>
      </c>
      <c r="M613" s="51"/>
      <c r="N613" s="51"/>
      <c r="O613" s="51"/>
      <c r="P613" s="51"/>
      <c r="Q613" s="37" t="str">
        <f t="shared" ca="1" si="0"/>
        <v/>
      </c>
      <c r="R613" s="52"/>
      <c r="S613" s="52"/>
      <c r="T613" s="52"/>
      <c r="U613" s="61"/>
      <c r="V613" s="62"/>
      <c r="W613" s="63"/>
      <c r="X613" s="64"/>
      <c r="Y613" s="18"/>
      <c r="Z613" s="18"/>
      <c r="AA613" s="18"/>
      <c r="AB613" s="18"/>
    </row>
    <row r="614" spans="1:28">
      <c r="A614" s="51">
        <v>613</v>
      </c>
      <c r="B614" s="52"/>
      <c r="C614" s="61"/>
      <c r="D614" s="51"/>
      <c r="E614" s="51" t="s">
        <v>1859</v>
      </c>
      <c r="F614" s="55" t="s">
        <v>1860</v>
      </c>
      <c r="G614" s="56"/>
      <c r="H614" s="57"/>
      <c r="I614" s="51"/>
      <c r="J614" s="51">
        <f>878</f>
        <v>878</v>
      </c>
      <c r="K614" s="58">
        <v>3.2870370370370367E-3</v>
      </c>
      <c r="L614" s="59" t="s">
        <v>1816</v>
      </c>
      <c r="M614" s="51"/>
      <c r="N614" s="51"/>
      <c r="O614" s="51"/>
      <c r="P614" s="51"/>
      <c r="Q614" s="37" t="str">
        <f t="shared" ca="1" si="0"/>
        <v/>
      </c>
      <c r="R614" s="52"/>
      <c r="S614" s="52"/>
      <c r="T614" s="52"/>
      <c r="U614" s="61"/>
      <c r="V614" s="62"/>
      <c r="W614" s="63"/>
      <c r="X614" s="64"/>
      <c r="Y614" s="18"/>
      <c r="Z614" s="18"/>
      <c r="AA614" s="18"/>
      <c r="AB614" s="18"/>
    </row>
    <row r="615" spans="1:28">
      <c r="A615" s="51">
        <v>614</v>
      </c>
      <c r="B615" s="52"/>
      <c r="C615" s="61"/>
      <c r="D615" s="51"/>
      <c r="E615" s="51" t="s">
        <v>1861</v>
      </c>
      <c r="F615" s="55" t="s">
        <v>1862</v>
      </c>
      <c r="G615" s="56"/>
      <c r="H615" s="57"/>
      <c r="I615" s="51"/>
      <c r="J615" s="51">
        <f>2.7*1000</f>
        <v>2700</v>
      </c>
      <c r="K615" s="58">
        <v>3.483796296296296E-3</v>
      </c>
      <c r="L615" s="59" t="s">
        <v>1816</v>
      </c>
      <c r="M615" s="51"/>
      <c r="N615" s="51"/>
      <c r="O615" s="51"/>
      <c r="P615" s="51"/>
      <c r="Q615" s="37" t="str">
        <f t="shared" ca="1" si="0"/>
        <v/>
      </c>
      <c r="R615" s="52"/>
      <c r="S615" s="52"/>
      <c r="T615" s="52"/>
      <c r="U615" s="61"/>
      <c r="V615" s="62"/>
      <c r="W615" s="63"/>
      <c r="X615" s="64"/>
      <c r="Y615" s="18"/>
      <c r="Z615" s="18"/>
      <c r="AA615" s="18"/>
      <c r="AB615" s="18"/>
    </row>
    <row r="616" spans="1:28">
      <c r="A616" s="51">
        <v>615</v>
      </c>
      <c r="B616" s="52"/>
      <c r="C616" s="61"/>
      <c r="D616" s="51"/>
      <c r="E616" s="51" t="s">
        <v>1863</v>
      </c>
      <c r="F616" s="55" t="s">
        <v>1864</v>
      </c>
      <c r="G616" s="56"/>
      <c r="H616" s="57"/>
      <c r="I616" s="51"/>
      <c r="J616" s="51">
        <f>4.3*1000</f>
        <v>4300</v>
      </c>
      <c r="K616" s="58">
        <v>5.004629629629629E-2</v>
      </c>
      <c r="L616" s="59" t="s">
        <v>1816</v>
      </c>
      <c r="M616" s="51"/>
      <c r="N616" s="51"/>
      <c r="O616" s="51"/>
      <c r="P616" s="51"/>
      <c r="Q616" s="37" t="str">
        <f t="shared" ca="1" si="0"/>
        <v/>
      </c>
      <c r="R616" s="52"/>
      <c r="S616" s="52"/>
      <c r="T616" s="52"/>
      <c r="U616" s="61"/>
      <c r="V616" s="62"/>
      <c r="W616" s="63"/>
      <c r="X616" s="64"/>
      <c r="Y616" s="18"/>
      <c r="Z616" s="18"/>
      <c r="AA616" s="18"/>
      <c r="AB616" s="18"/>
    </row>
    <row r="617" spans="1:28">
      <c r="A617" s="51">
        <v>616</v>
      </c>
      <c r="B617" s="52"/>
      <c r="C617" s="61"/>
      <c r="D617" s="51"/>
      <c r="E617" s="51" t="s">
        <v>1865</v>
      </c>
      <c r="F617" s="55" t="s">
        <v>1866</v>
      </c>
      <c r="G617" s="56"/>
      <c r="H617" s="57"/>
      <c r="I617" s="51"/>
      <c r="J617" s="51">
        <f>8.9*1000</f>
        <v>8900</v>
      </c>
      <c r="K617" s="58">
        <v>3.8819444444444441E-2</v>
      </c>
      <c r="L617" s="59" t="s">
        <v>1867</v>
      </c>
      <c r="M617" s="51"/>
      <c r="N617" s="51"/>
      <c r="O617" s="51"/>
      <c r="P617" s="51"/>
      <c r="Q617" s="37" t="str">
        <f t="shared" ca="1" si="0"/>
        <v/>
      </c>
      <c r="R617" s="52"/>
      <c r="S617" s="52"/>
      <c r="T617" s="52"/>
      <c r="U617" s="61"/>
      <c r="V617" s="62"/>
      <c r="W617" s="63"/>
      <c r="X617" s="64"/>
      <c r="Y617" s="18"/>
      <c r="Z617" s="18"/>
      <c r="AA617" s="18"/>
      <c r="AB617" s="18"/>
    </row>
    <row r="618" spans="1:28">
      <c r="A618" s="51">
        <v>617</v>
      </c>
      <c r="B618" s="52"/>
      <c r="C618" s="61"/>
      <c r="D618" s="51"/>
      <c r="E618" s="51" t="s">
        <v>1868</v>
      </c>
      <c r="F618" s="55" t="s">
        <v>1869</v>
      </c>
      <c r="G618" s="56"/>
      <c r="H618" s="57"/>
      <c r="I618" s="51"/>
      <c r="J618" s="51">
        <f>72*1000</f>
        <v>72000</v>
      </c>
      <c r="K618" s="58">
        <v>0.11864583333333334</v>
      </c>
      <c r="L618" s="59" t="s">
        <v>1867</v>
      </c>
      <c r="M618" s="51"/>
      <c r="N618" s="51"/>
      <c r="O618" s="51"/>
      <c r="P618" s="51"/>
      <c r="Q618" s="37" t="str">
        <f t="shared" ca="1" si="0"/>
        <v/>
      </c>
      <c r="R618" s="52"/>
      <c r="S618" s="52"/>
      <c r="T618" s="52"/>
      <c r="U618" s="61"/>
      <c r="V618" s="62"/>
      <c r="W618" s="63"/>
      <c r="X618" s="64"/>
      <c r="Y618" s="18"/>
      <c r="Z618" s="18"/>
      <c r="AA618" s="18"/>
      <c r="AB618" s="18"/>
    </row>
    <row r="619" spans="1:28">
      <c r="A619" s="51">
        <v>618</v>
      </c>
      <c r="B619" s="52"/>
      <c r="C619" s="61"/>
      <c r="D619" s="51"/>
      <c r="E619" s="51" t="s">
        <v>1870</v>
      </c>
      <c r="F619" s="55" t="s">
        <v>1871</v>
      </c>
      <c r="G619" s="56"/>
      <c r="H619" s="57"/>
      <c r="I619" s="51"/>
      <c r="J619" s="51">
        <f>12*1000</f>
        <v>12000</v>
      </c>
      <c r="K619" s="58">
        <v>3.2708333333333332E-2</v>
      </c>
      <c r="L619" s="59" t="s">
        <v>1867</v>
      </c>
      <c r="M619" s="51"/>
      <c r="N619" s="51"/>
      <c r="O619" s="51"/>
      <c r="P619" s="51"/>
      <c r="Q619" s="37" t="str">
        <f t="shared" ca="1" si="0"/>
        <v/>
      </c>
      <c r="R619" s="52"/>
      <c r="S619" s="52"/>
      <c r="T619" s="52"/>
      <c r="U619" s="61"/>
      <c r="V619" s="62"/>
      <c r="W619" s="63"/>
      <c r="X619" s="64"/>
      <c r="Y619" s="18"/>
      <c r="Z619" s="18"/>
      <c r="AA619" s="18"/>
      <c r="AB619" s="18"/>
    </row>
    <row r="620" spans="1:28">
      <c r="A620" s="51">
        <v>619</v>
      </c>
      <c r="B620" s="52"/>
      <c r="C620" s="61"/>
      <c r="D620" s="51"/>
      <c r="E620" s="51" t="s">
        <v>1872</v>
      </c>
      <c r="F620" s="55" t="s">
        <v>1873</v>
      </c>
      <c r="G620" s="56"/>
      <c r="H620" s="57"/>
      <c r="I620" s="51"/>
      <c r="J620" s="51">
        <f>657</f>
        <v>657</v>
      </c>
      <c r="K620" s="58">
        <v>3.7847222222222223E-3</v>
      </c>
      <c r="L620" s="59" t="s">
        <v>1867</v>
      </c>
      <c r="M620" s="51"/>
      <c r="N620" s="51"/>
      <c r="O620" s="51"/>
      <c r="P620" s="51"/>
      <c r="Q620" s="37" t="str">
        <f t="shared" ca="1" si="0"/>
        <v/>
      </c>
      <c r="R620" s="52"/>
      <c r="S620" s="52"/>
      <c r="T620" s="52"/>
      <c r="U620" s="61"/>
      <c r="V620" s="62"/>
      <c r="W620" s="63"/>
      <c r="X620" s="64"/>
      <c r="Y620" s="18"/>
      <c r="Z620" s="18"/>
      <c r="AA620" s="18"/>
      <c r="AB620" s="18"/>
    </row>
    <row r="621" spans="1:28">
      <c r="A621" s="51">
        <v>620</v>
      </c>
      <c r="B621" s="52"/>
      <c r="C621" s="61"/>
      <c r="D621" s="51"/>
      <c r="E621" s="51" t="s">
        <v>1874</v>
      </c>
      <c r="F621" s="55" t="s">
        <v>1875</v>
      </c>
      <c r="G621" s="56"/>
      <c r="H621" s="57"/>
      <c r="I621" s="51"/>
      <c r="J621" s="51">
        <f>624</f>
        <v>624</v>
      </c>
      <c r="K621" s="58">
        <v>6.2500000000000001E-4</v>
      </c>
      <c r="L621" s="59" t="s">
        <v>1867</v>
      </c>
      <c r="M621" s="51"/>
      <c r="N621" s="51"/>
      <c r="O621" s="51"/>
      <c r="P621" s="51"/>
      <c r="Q621" s="37" t="str">
        <f t="shared" ca="1" si="0"/>
        <v/>
      </c>
      <c r="R621" s="52"/>
      <c r="S621" s="52"/>
      <c r="T621" s="52"/>
      <c r="U621" s="61"/>
      <c r="V621" s="62"/>
      <c r="W621" s="63"/>
      <c r="X621" s="64"/>
      <c r="Y621" s="18"/>
      <c r="Z621" s="18"/>
      <c r="AA621" s="18"/>
      <c r="AB621" s="18"/>
    </row>
    <row r="622" spans="1:28">
      <c r="A622" s="51">
        <v>621</v>
      </c>
      <c r="B622" s="52"/>
      <c r="C622" s="61"/>
      <c r="D622" s="51"/>
      <c r="E622" s="51" t="s">
        <v>1876</v>
      </c>
      <c r="F622" s="55" t="s">
        <v>1877</v>
      </c>
      <c r="G622" s="56"/>
      <c r="H622" s="57"/>
      <c r="I622" s="51"/>
      <c r="J622" s="51">
        <f>461</f>
        <v>461</v>
      </c>
      <c r="K622" s="58">
        <v>1.3078703703703705E-3</v>
      </c>
      <c r="L622" s="59" t="s">
        <v>1867</v>
      </c>
      <c r="M622" s="51"/>
      <c r="N622" s="51"/>
      <c r="O622" s="51"/>
      <c r="P622" s="51"/>
      <c r="Q622" s="37" t="str">
        <f t="shared" ca="1" si="0"/>
        <v/>
      </c>
      <c r="R622" s="52"/>
      <c r="S622" s="52"/>
      <c r="T622" s="52"/>
      <c r="U622" s="61"/>
      <c r="V622" s="62"/>
      <c r="W622" s="63"/>
      <c r="X622" s="64"/>
      <c r="Y622" s="18"/>
      <c r="Z622" s="18"/>
      <c r="AA622" s="18"/>
      <c r="AB622" s="18"/>
    </row>
    <row r="623" spans="1:28">
      <c r="A623" s="51">
        <v>622</v>
      </c>
      <c r="B623" s="52"/>
      <c r="C623" s="61"/>
      <c r="D623" s="51"/>
      <c r="E623" s="51" t="s">
        <v>1878</v>
      </c>
      <c r="F623" s="55" t="s">
        <v>1879</v>
      </c>
      <c r="G623" s="56"/>
      <c r="H623" s="57"/>
      <c r="I623" s="51"/>
      <c r="J623" s="51">
        <f>369</f>
        <v>369</v>
      </c>
      <c r="K623" s="58">
        <v>2.5462962962962961E-3</v>
      </c>
      <c r="L623" s="59" t="s">
        <v>1867</v>
      </c>
      <c r="M623" s="51"/>
      <c r="N623" s="51"/>
      <c r="O623" s="51"/>
      <c r="P623" s="51"/>
      <c r="Q623" s="37" t="str">
        <f t="shared" ca="1" si="0"/>
        <v/>
      </c>
      <c r="R623" s="52"/>
      <c r="S623" s="52"/>
      <c r="T623" s="52"/>
      <c r="U623" s="61"/>
      <c r="V623" s="62"/>
      <c r="W623" s="63"/>
      <c r="X623" s="64"/>
      <c r="Y623" s="18"/>
      <c r="Z623" s="18"/>
      <c r="AA623" s="18"/>
      <c r="AB623" s="18"/>
    </row>
    <row r="624" spans="1:28">
      <c r="A624" s="51">
        <v>623</v>
      </c>
      <c r="B624" s="52"/>
      <c r="C624" s="61"/>
      <c r="D624" s="51"/>
      <c r="E624" s="51" t="s">
        <v>1880</v>
      </c>
      <c r="F624" s="55" t="s">
        <v>1881</v>
      </c>
      <c r="G624" s="56"/>
      <c r="H624" s="57"/>
      <c r="I624" s="51"/>
      <c r="J624" s="51">
        <f>554</f>
        <v>554</v>
      </c>
      <c r="K624" s="58">
        <v>5.3125000000000004E-3</v>
      </c>
      <c r="L624" s="59" t="s">
        <v>1867</v>
      </c>
      <c r="M624" s="51"/>
      <c r="N624" s="51"/>
      <c r="O624" s="51"/>
      <c r="P624" s="51"/>
      <c r="Q624" s="37" t="str">
        <f t="shared" ca="1" si="0"/>
        <v/>
      </c>
      <c r="R624" s="52"/>
      <c r="S624" s="52"/>
      <c r="T624" s="52"/>
      <c r="U624" s="61"/>
      <c r="V624" s="62"/>
      <c r="W624" s="63"/>
      <c r="X624" s="64"/>
      <c r="Y624" s="18"/>
      <c r="Z624" s="18"/>
      <c r="AA624" s="18"/>
      <c r="AB624" s="18"/>
    </row>
    <row r="625" spans="1:28">
      <c r="A625" s="51">
        <v>624</v>
      </c>
      <c r="B625" s="69" t="s">
        <v>127</v>
      </c>
      <c r="C625" s="61"/>
      <c r="D625" s="51"/>
      <c r="E625" s="51" t="s">
        <v>1882</v>
      </c>
      <c r="F625" s="55" t="s">
        <v>1883</v>
      </c>
      <c r="G625" s="56"/>
      <c r="H625" s="57"/>
      <c r="I625" s="51"/>
      <c r="J625" s="51">
        <f>8.5*1000</f>
        <v>8500</v>
      </c>
      <c r="K625" s="58">
        <v>5.7048611111111112E-2</v>
      </c>
      <c r="L625" s="59" t="s">
        <v>1867</v>
      </c>
      <c r="M625" s="51"/>
      <c r="N625" s="51"/>
      <c r="O625" s="51"/>
      <c r="P625" s="51"/>
      <c r="Q625" s="37" t="str">
        <f t="shared" ca="1" si="0"/>
        <v/>
      </c>
      <c r="R625" s="52"/>
      <c r="S625" s="52"/>
      <c r="T625" s="52"/>
      <c r="U625" s="61"/>
      <c r="V625" s="62"/>
      <c r="W625" s="63"/>
      <c r="X625" s="64"/>
      <c r="Y625" s="18"/>
      <c r="Z625" s="18"/>
      <c r="AA625" s="18"/>
      <c r="AB625" s="18"/>
    </row>
    <row r="626" spans="1:28">
      <c r="A626" s="51">
        <v>625</v>
      </c>
      <c r="B626" s="69"/>
      <c r="C626" s="61"/>
      <c r="D626" s="51"/>
      <c r="E626" s="51" t="s">
        <v>1884</v>
      </c>
      <c r="F626" s="55" t="s">
        <v>1885</v>
      </c>
      <c r="G626" s="56"/>
      <c r="H626" s="57"/>
      <c r="I626" s="51"/>
      <c r="J626" s="51">
        <f>686</f>
        <v>686</v>
      </c>
      <c r="K626" s="58">
        <v>8.3333333333333339E-4</v>
      </c>
      <c r="L626" s="59" t="s">
        <v>1867</v>
      </c>
      <c r="M626" s="51"/>
      <c r="N626" s="51"/>
      <c r="O626" s="51"/>
      <c r="P626" s="51"/>
      <c r="Q626" s="37" t="str">
        <f t="shared" ca="1" si="0"/>
        <v/>
      </c>
      <c r="R626" s="52"/>
      <c r="S626" s="52"/>
      <c r="T626" s="52"/>
      <c r="U626" s="61"/>
      <c r="V626" s="62"/>
      <c r="W626" s="63"/>
      <c r="X626" s="64"/>
      <c r="Y626" s="18"/>
      <c r="Z626" s="18"/>
      <c r="AA626" s="18"/>
      <c r="AB626" s="18"/>
    </row>
    <row r="627" spans="1:28">
      <c r="A627" s="51">
        <v>626</v>
      </c>
      <c r="B627" s="52"/>
      <c r="C627" s="61"/>
      <c r="D627" s="51"/>
      <c r="E627" s="51" t="s">
        <v>1886</v>
      </c>
      <c r="F627" s="55" t="s">
        <v>1887</v>
      </c>
      <c r="G627" s="56"/>
      <c r="H627" s="57"/>
      <c r="I627" s="51"/>
      <c r="J627" s="51">
        <f>7.1*1000</f>
        <v>7100</v>
      </c>
      <c r="K627" s="58">
        <v>4.221064814814815E-2</v>
      </c>
      <c r="L627" s="59" t="s">
        <v>1867</v>
      </c>
      <c r="M627" s="51"/>
      <c r="N627" s="51"/>
      <c r="O627" s="51"/>
      <c r="P627" s="51"/>
      <c r="Q627" s="37" t="str">
        <f t="shared" ca="1" si="0"/>
        <v/>
      </c>
      <c r="R627" s="52"/>
      <c r="S627" s="52"/>
      <c r="T627" s="52"/>
      <c r="U627" s="61"/>
      <c r="V627" s="62"/>
      <c r="W627" s="63"/>
      <c r="X627" s="64"/>
      <c r="Y627" s="18"/>
      <c r="Z627" s="18"/>
      <c r="AA627" s="18"/>
      <c r="AB627" s="18"/>
    </row>
    <row r="628" spans="1:28">
      <c r="A628" s="51">
        <v>627</v>
      </c>
      <c r="B628" s="69"/>
      <c r="C628" s="61"/>
      <c r="D628" s="51"/>
      <c r="E628" s="51" t="s">
        <v>1888</v>
      </c>
      <c r="F628" s="55" t="s">
        <v>1889</v>
      </c>
      <c r="G628" s="56"/>
      <c r="H628" s="57"/>
      <c r="I628" s="51"/>
      <c r="J628" s="51">
        <f>265</f>
        <v>265</v>
      </c>
      <c r="K628" s="58">
        <v>1.2847222222222223E-3</v>
      </c>
      <c r="L628" s="59" t="s">
        <v>1867</v>
      </c>
      <c r="M628" s="51"/>
      <c r="N628" s="51"/>
      <c r="O628" s="51"/>
      <c r="P628" s="51"/>
      <c r="Q628" s="37" t="str">
        <f t="shared" ca="1" si="0"/>
        <v/>
      </c>
      <c r="R628" s="52"/>
      <c r="S628" s="52"/>
      <c r="T628" s="52"/>
      <c r="U628" s="61"/>
      <c r="V628" s="62"/>
      <c r="W628" s="63"/>
      <c r="X628" s="64"/>
      <c r="Y628" s="18"/>
      <c r="Z628" s="18"/>
      <c r="AA628" s="18"/>
      <c r="AB628" s="18"/>
    </row>
    <row r="629" spans="1:28">
      <c r="A629" s="51">
        <v>628</v>
      </c>
      <c r="B629" s="52"/>
      <c r="C629" s="61"/>
      <c r="D629" s="51"/>
      <c r="E629" s="51" t="s">
        <v>1890</v>
      </c>
      <c r="F629" s="55" t="s">
        <v>1891</v>
      </c>
      <c r="G629" s="56"/>
      <c r="H629" s="57"/>
      <c r="I629" s="51"/>
      <c r="J629" s="51">
        <f>476</f>
        <v>476</v>
      </c>
      <c r="K629" s="58">
        <v>2.1064814814814813E-3</v>
      </c>
      <c r="L629" s="59" t="s">
        <v>1867</v>
      </c>
      <c r="M629" s="51"/>
      <c r="N629" s="51"/>
      <c r="O629" s="51"/>
      <c r="P629" s="51"/>
      <c r="Q629" s="37" t="str">
        <f t="shared" ca="1" si="0"/>
        <v/>
      </c>
      <c r="R629" s="52"/>
      <c r="S629" s="52"/>
      <c r="T629" s="52"/>
      <c r="U629" s="61"/>
      <c r="V629" s="62"/>
      <c r="W629" s="63"/>
      <c r="X629" s="64"/>
      <c r="Y629" s="18"/>
      <c r="Z629" s="18"/>
      <c r="AA629" s="18"/>
      <c r="AB629" s="18"/>
    </row>
    <row r="630" spans="1:28">
      <c r="A630" s="51">
        <v>629</v>
      </c>
      <c r="B630" s="52"/>
      <c r="C630" s="61"/>
      <c r="D630" s="51"/>
      <c r="E630" s="51" t="s">
        <v>1892</v>
      </c>
      <c r="F630" s="55" t="s">
        <v>1893</v>
      </c>
      <c r="G630" s="56"/>
      <c r="H630" s="57"/>
      <c r="I630" s="51"/>
      <c r="J630" s="51">
        <f>359</f>
        <v>359</v>
      </c>
      <c r="K630" s="58">
        <v>2.5115740740740741E-3</v>
      </c>
      <c r="L630" s="59" t="s">
        <v>1867</v>
      </c>
      <c r="M630" s="51"/>
      <c r="N630" s="51"/>
      <c r="O630" s="51"/>
      <c r="P630" s="51"/>
      <c r="Q630" s="37" t="str">
        <f t="shared" ca="1" si="0"/>
        <v/>
      </c>
      <c r="R630" s="52"/>
      <c r="S630" s="52"/>
      <c r="T630" s="52"/>
      <c r="U630" s="61"/>
      <c r="V630" s="62"/>
      <c r="W630" s="63"/>
      <c r="X630" s="64"/>
      <c r="Y630" s="18"/>
      <c r="Z630" s="18"/>
      <c r="AA630" s="18"/>
      <c r="AB630" s="18"/>
    </row>
    <row r="631" spans="1:28">
      <c r="A631" s="51">
        <v>630</v>
      </c>
      <c r="B631" s="52"/>
      <c r="C631" s="61"/>
      <c r="D631" s="51"/>
      <c r="E631" s="51" t="s">
        <v>1894</v>
      </c>
      <c r="F631" s="55" t="s">
        <v>1895</v>
      </c>
      <c r="G631" s="56"/>
      <c r="H631" s="57"/>
      <c r="I631" s="51"/>
      <c r="J631" s="51">
        <f>522</f>
        <v>522</v>
      </c>
      <c r="K631" s="58">
        <v>1.8750000000000001E-3</v>
      </c>
      <c r="L631" s="59" t="s">
        <v>1867</v>
      </c>
      <c r="M631" s="51"/>
      <c r="N631" s="51"/>
      <c r="O631" s="51"/>
      <c r="P631" s="51"/>
      <c r="Q631" s="37" t="str">
        <f t="shared" ca="1" si="0"/>
        <v/>
      </c>
      <c r="R631" s="52"/>
      <c r="S631" s="52"/>
      <c r="T631" s="52"/>
      <c r="U631" s="61"/>
      <c r="V631" s="62"/>
      <c r="W631" s="63"/>
      <c r="X631" s="64"/>
      <c r="Y631" s="18"/>
      <c r="Z631" s="18"/>
      <c r="AA631" s="18"/>
      <c r="AB631" s="18"/>
    </row>
    <row r="632" spans="1:28">
      <c r="A632" s="51">
        <v>631</v>
      </c>
      <c r="B632" s="52"/>
      <c r="C632" s="61"/>
      <c r="D632" s="51"/>
      <c r="E632" s="51" t="s">
        <v>1896</v>
      </c>
      <c r="F632" s="55" t="s">
        <v>1897</v>
      </c>
      <c r="G632" s="56"/>
      <c r="H632" s="57"/>
      <c r="I632" s="51"/>
      <c r="J632" s="51">
        <f>403</f>
        <v>403</v>
      </c>
      <c r="K632" s="58">
        <v>1.1805555555555556E-3</v>
      </c>
      <c r="L632" s="59" t="s">
        <v>1867</v>
      </c>
      <c r="M632" s="51"/>
      <c r="N632" s="51"/>
      <c r="O632" s="51"/>
      <c r="P632" s="51"/>
      <c r="Q632" s="37" t="str">
        <f t="shared" ca="1" si="0"/>
        <v/>
      </c>
      <c r="R632" s="52"/>
      <c r="S632" s="52"/>
      <c r="T632" s="52"/>
      <c r="U632" s="61"/>
      <c r="V632" s="62"/>
      <c r="W632" s="63"/>
      <c r="X632" s="64"/>
      <c r="Y632" s="18"/>
      <c r="Z632" s="18"/>
      <c r="AA632" s="18"/>
      <c r="AB632" s="18"/>
    </row>
    <row r="633" spans="1:28">
      <c r="A633" s="51">
        <v>632</v>
      </c>
      <c r="B633" s="52"/>
      <c r="C633" s="61"/>
      <c r="D633" s="51"/>
      <c r="E633" s="51" t="s">
        <v>1898</v>
      </c>
      <c r="F633" s="55" t="s">
        <v>1899</v>
      </c>
      <c r="G633" s="56"/>
      <c r="H633" s="57"/>
      <c r="I633" s="51"/>
      <c r="J633" s="51">
        <f>499</f>
        <v>499</v>
      </c>
      <c r="K633" s="58">
        <v>1.4004629629629629E-3</v>
      </c>
      <c r="L633" s="59" t="s">
        <v>1867</v>
      </c>
      <c r="M633" s="51"/>
      <c r="N633" s="51"/>
      <c r="O633" s="51"/>
      <c r="P633" s="51"/>
      <c r="Q633" s="37" t="str">
        <f t="shared" ca="1" si="0"/>
        <v/>
      </c>
      <c r="R633" s="52"/>
      <c r="S633" s="52"/>
      <c r="T633" s="52"/>
      <c r="U633" s="61"/>
      <c r="V633" s="62"/>
      <c r="W633" s="63"/>
      <c r="X633" s="64"/>
      <c r="Y633" s="18"/>
      <c r="Z633" s="18"/>
      <c r="AA633" s="18"/>
      <c r="AB633" s="18"/>
    </row>
    <row r="634" spans="1:28">
      <c r="A634" s="51">
        <v>633</v>
      </c>
      <c r="B634" s="52"/>
      <c r="C634" s="61"/>
      <c r="D634" s="51"/>
      <c r="E634" s="51" t="s">
        <v>1900</v>
      </c>
      <c r="F634" s="55" t="s">
        <v>1901</v>
      </c>
      <c r="G634" s="56"/>
      <c r="H634" s="57"/>
      <c r="I634" s="51"/>
      <c r="J634" s="51">
        <f>390</f>
        <v>390</v>
      </c>
      <c r="K634" s="58">
        <v>1.6666666666666668E-3</v>
      </c>
      <c r="L634" s="59" t="s">
        <v>1867</v>
      </c>
      <c r="M634" s="51"/>
      <c r="N634" s="51"/>
      <c r="O634" s="51"/>
      <c r="P634" s="51"/>
      <c r="Q634" s="37" t="str">
        <f t="shared" ca="1" si="0"/>
        <v/>
      </c>
      <c r="R634" s="52"/>
      <c r="S634" s="52"/>
      <c r="T634" s="52"/>
      <c r="U634" s="61"/>
      <c r="V634" s="62"/>
      <c r="W634" s="63"/>
      <c r="X634" s="64"/>
      <c r="Y634" s="18"/>
      <c r="Z634" s="18"/>
      <c r="AA634" s="18"/>
      <c r="AB634" s="18"/>
    </row>
    <row r="635" spans="1:28">
      <c r="A635" s="51">
        <v>634</v>
      </c>
      <c r="B635" s="52"/>
      <c r="C635" s="61"/>
      <c r="D635" s="51"/>
      <c r="E635" s="51" t="s">
        <v>1902</v>
      </c>
      <c r="F635" s="55" t="s">
        <v>1903</v>
      </c>
      <c r="G635" s="56"/>
      <c r="H635" s="57"/>
      <c r="I635" s="51"/>
      <c r="J635" s="51">
        <f>275</f>
        <v>275</v>
      </c>
      <c r="K635" s="58">
        <v>1.1458333333333333E-3</v>
      </c>
      <c r="L635" s="59" t="s">
        <v>1867</v>
      </c>
      <c r="M635" s="51"/>
      <c r="N635" s="51"/>
      <c r="O635" s="51"/>
      <c r="P635" s="51"/>
      <c r="Q635" s="37" t="str">
        <f t="shared" ca="1" si="0"/>
        <v/>
      </c>
      <c r="R635" s="52"/>
      <c r="S635" s="52"/>
      <c r="T635" s="52"/>
      <c r="U635" s="61"/>
      <c r="V635" s="62"/>
      <c r="W635" s="63"/>
      <c r="X635" s="64"/>
      <c r="Y635" s="18"/>
      <c r="Z635" s="18"/>
      <c r="AA635" s="18"/>
      <c r="AB635" s="18"/>
    </row>
    <row r="636" spans="1:28">
      <c r="A636" s="51">
        <v>635</v>
      </c>
      <c r="B636" s="52"/>
      <c r="C636" s="61"/>
      <c r="D636" s="51"/>
      <c r="E636" s="51" t="s">
        <v>1904</v>
      </c>
      <c r="F636" s="55" t="s">
        <v>1905</v>
      </c>
      <c r="G636" s="56"/>
      <c r="H636" s="57"/>
      <c r="I636" s="51"/>
      <c r="J636" s="51">
        <f>822</f>
        <v>822</v>
      </c>
      <c r="K636" s="58">
        <v>1.8055555555555557E-3</v>
      </c>
      <c r="L636" s="59" t="s">
        <v>1867</v>
      </c>
      <c r="M636" s="51"/>
      <c r="N636" s="51"/>
      <c r="O636" s="51"/>
      <c r="P636" s="51"/>
      <c r="Q636" s="37" t="str">
        <f t="shared" ca="1" si="0"/>
        <v/>
      </c>
      <c r="R636" s="52"/>
      <c r="S636" s="52"/>
      <c r="T636" s="52"/>
      <c r="U636" s="61"/>
      <c r="V636" s="62"/>
      <c r="W636" s="63"/>
      <c r="X636" s="64"/>
      <c r="Y636" s="18"/>
      <c r="Z636" s="18"/>
      <c r="AA636" s="18"/>
      <c r="AB636" s="18"/>
    </row>
    <row r="637" spans="1:28">
      <c r="A637" s="51">
        <v>636</v>
      </c>
      <c r="B637" s="52"/>
      <c r="C637" s="61"/>
      <c r="D637" s="51"/>
      <c r="E637" s="51" t="s">
        <v>1906</v>
      </c>
      <c r="F637" s="55" t="s">
        <v>1907</v>
      </c>
      <c r="G637" s="56"/>
      <c r="H637" s="57"/>
      <c r="I637" s="51"/>
      <c r="J637" s="51">
        <f>2.2*1000</f>
        <v>2200</v>
      </c>
      <c r="K637" s="58">
        <v>2.255787037037037E-2</v>
      </c>
      <c r="L637" s="59" t="s">
        <v>1867</v>
      </c>
      <c r="M637" s="51"/>
      <c r="N637" s="51"/>
      <c r="O637" s="51"/>
      <c r="P637" s="51"/>
      <c r="Q637" s="37" t="str">
        <f t="shared" ca="1" si="0"/>
        <v/>
      </c>
      <c r="R637" s="52"/>
      <c r="S637" s="52"/>
      <c r="T637" s="52"/>
      <c r="U637" s="61"/>
      <c r="V637" s="62"/>
      <c r="W637" s="63"/>
      <c r="X637" s="64"/>
      <c r="Y637" s="18"/>
      <c r="Z637" s="18"/>
      <c r="AA637" s="18"/>
      <c r="AB637" s="18"/>
    </row>
    <row r="638" spans="1:28">
      <c r="A638" s="51">
        <v>637</v>
      </c>
      <c r="B638" s="52"/>
      <c r="C638" s="61"/>
      <c r="D638" s="51"/>
      <c r="E638" s="51" t="s">
        <v>1908</v>
      </c>
      <c r="F638" s="55" t="s">
        <v>1909</v>
      </c>
      <c r="G638" s="56"/>
      <c r="H638" s="57"/>
      <c r="I638" s="51"/>
      <c r="J638" s="51">
        <f>1.3*1000</f>
        <v>1300</v>
      </c>
      <c r="K638" s="58">
        <v>4.2129629629629626E-3</v>
      </c>
      <c r="L638" s="59" t="s">
        <v>1867</v>
      </c>
      <c r="M638" s="51"/>
      <c r="N638" s="51"/>
      <c r="O638" s="51"/>
      <c r="P638" s="51"/>
      <c r="Q638" s="37" t="str">
        <f t="shared" ca="1" si="0"/>
        <v/>
      </c>
      <c r="R638" s="52"/>
      <c r="S638" s="52"/>
      <c r="T638" s="52"/>
      <c r="U638" s="61"/>
      <c r="V638" s="62"/>
      <c r="W638" s="63"/>
      <c r="X638" s="64"/>
      <c r="Y638" s="18"/>
      <c r="Z638" s="18"/>
      <c r="AA638" s="18"/>
      <c r="AB638" s="18"/>
    </row>
    <row r="639" spans="1:28">
      <c r="A639" s="51">
        <v>638</v>
      </c>
      <c r="B639" s="52"/>
      <c r="C639" s="61"/>
      <c r="D639" s="51"/>
      <c r="E639" s="51" t="s">
        <v>1910</v>
      </c>
      <c r="F639" s="55" t="s">
        <v>1911</v>
      </c>
      <c r="G639" s="56"/>
      <c r="H639" s="57"/>
      <c r="I639" s="51"/>
      <c r="J639" s="51">
        <f>481</f>
        <v>481</v>
      </c>
      <c r="K639" s="58">
        <v>5.2777777777777771E-3</v>
      </c>
      <c r="L639" s="59" t="s">
        <v>1867</v>
      </c>
      <c r="M639" s="51"/>
      <c r="N639" s="51"/>
      <c r="O639" s="51"/>
      <c r="P639" s="51"/>
      <c r="Q639" s="37" t="str">
        <f t="shared" ca="1" si="0"/>
        <v/>
      </c>
      <c r="R639" s="52"/>
      <c r="S639" s="52"/>
      <c r="T639" s="52"/>
      <c r="U639" s="61"/>
      <c r="V639" s="62"/>
      <c r="W639" s="63"/>
      <c r="X639" s="64"/>
      <c r="Y639" s="18"/>
      <c r="Z639" s="18"/>
      <c r="AA639" s="18"/>
      <c r="AB639" s="18"/>
    </row>
    <row r="640" spans="1:28">
      <c r="A640" s="51">
        <v>639</v>
      </c>
      <c r="B640" s="52"/>
      <c r="C640" s="61"/>
      <c r="D640" s="51"/>
      <c r="E640" s="51" t="s">
        <v>1912</v>
      </c>
      <c r="F640" s="55" t="s">
        <v>1913</v>
      </c>
      <c r="G640" s="56"/>
      <c r="H640" s="57"/>
      <c r="I640" s="51"/>
      <c r="J640" s="51">
        <f>411</f>
        <v>411</v>
      </c>
      <c r="K640" s="58">
        <v>5.3240740740740744E-4</v>
      </c>
      <c r="L640" s="59" t="s">
        <v>1867</v>
      </c>
      <c r="M640" s="51"/>
      <c r="N640" s="51"/>
      <c r="O640" s="51"/>
      <c r="P640" s="51"/>
      <c r="Q640" s="37" t="str">
        <f t="shared" ca="1" si="0"/>
        <v/>
      </c>
      <c r="R640" s="52"/>
      <c r="S640" s="52"/>
      <c r="T640" s="52"/>
      <c r="U640" s="61"/>
      <c r="V640" s="62"/>
      <c r="W640" s="63"/>
      <c r="X640" s="64"/>
      <c r="Y640" s="18"/>
      <c r="Z640" s="18"/>
      <c r="AA640" s="18"/>
      <c r="AB640" s="18"/>
    </row>
    <row r="641" spans="1:28">
      <c r="A641" s="51">
        <v>640</v>
      </c>
      <c r="B641" s="52"/>
      <c r="C641" s="61"/>
      <c r="D641" s="51"/>
      <c r="E641" s="51" t="s">
        <v>1914</v>
      </c>
      <c r="F641" s="55" t="s">
        <v>1915</v>
      </c>
      <c r="G641" s="56"/>
      <c r="H641" s="57"/>
      <c r="I641" s="51"/>
      <c r="J641" s="51">
        <f>301</f>
        <v>301</v>
      </c>
      <c r="K641" s="58">
        <v>1.1226851851851851E-3</v>
      </c>
      <c r="L641" s="59" t="s">
        <v>1867</v>
      </c>
      <c r="M641" s="51"/>
      <c r="N641" s="51"/>
      <c r="O641" s="51"/>
      <c r="P641" s="51"/>
      <c r="Q641" s="37" t="str">
        <f t="shared" ca="1" si="0"/>
        <v/>
      </c>
      <c r="R641" s="52"/>
      <c r="S641" s="52"/>
      <c r="T641" s="52"/>
      <c r="U641" s="61"/>
      <c r="V641" s="62"/>
      <c r="W641" s="63"/>
      <c r="X641" s="64"/>
      <c r="Y641" s="18"/>
      <c r="Z641" s="18"/>
      <c r="AA641" s="18"/>
      <c r="AB641" s="18"/>
    </row>
    <row r="642" spans="1:28">
      <c r="A642" s="51">
        <v>641</v>
      </c>
      <c r="B642" s="52"/>
      <c r="C642" s="61"/>
      <c r="D642" s="51"/>
      <c r="E642" s="51" t="s">
        <v>1916</v>
      </c>
      <c r="F642" s="55" t="s">
        <v>1917</v>
      </c>
      <c r="G642" s="56"/>
      <c r="H642" s="57"/>
      <c r="I642" s="51"/>
      <c r="J642" s="51">
        <f>343</f>
        <v>343</v>
      </c>
      <c r="K642" s="58">
        <v>1.736111111111111E-3</v>
      </c>
      <c r="L642" s="59" t="s">
        <v>1867</v>
      </c>
      <c r="M642" s="51"/>
      <c r="N642" s="51"/>
      <c r="O642" s="51"/>
      <c r="P642" s="51"/>
      <c r="Q642" s="37" t="str">
        <f t="shared" ca="1" si="0"/>
        <v/>
      </c>
      <c r="R642" s="52"/>
      <c r="S642" s="52"/>
      <c r="T642" s="52"/>
      <c r="U642" s="61"/>
      <c r="V642" s="62"/>
      <c r="W642" s="63"/>
      <c r="X642" s="64"/>
      <c r="Y642" s="18"/>
      <c r="Z642" s="18"/>
      <c r="AA642" s="18"/>
      <c r="AB642" s="18"/>
    </row>
    <row r="643" spans="1:28">
      <c r="A643" s="51">
        <v>642</v>
      </c>
      <c r="B643" s="52"/>
      <c r="C643" s="61"/>
      <c r="D643" s="51"/>
      <c r="E643" s="51" t="s">
        <v>1918</v>
      </c>
      <c r="F643" s="55" t="s">
        <v>1919</v>
      </c>
      <c r="G643" s="56"/>
      <c r="H643" s="57"/>
      <c r="I643" s="51"/>
      <c r="J643" s="51">
        <f>816</f>
        <v>816</v>
      </c>
      <c r="K643" s="58">
        <v>8.7962962962962962E-4</v>
      </c>
      <c r="L643" s="59" t="s">
        <v>1867</v>
      </c>
      <c r="M643" s="51"/>
      <c r="N643" s="51"/>
      <c r="O643" s="51"/>
      <c r="P643" s="51"/>
      <c r="Q643" s="37" t="str">
        <f t="shared" ca="1" si="0"/>
        <v/>
      </c>
      <c r="R643" s="52"/>
      <c r="S643" s="52"/>
      <c r="T643" s="52"/>
      <c r="U643" s="61"/>
      <c r="V643" s="62"/>
      <c r="W643" s="63"/>
      <c r="X643" s="64"/>
      <c r="Y643" s="18"/>
      <c r="Z643" s="18"/>
      <c r="AA643" s="18"/>
      <c r="AB643" s="18"/>
    </row>
    <row r="644" spans="1:28">
      <c r="A644" s="51">
        <v>643</v>
      </c>
      <c r="B644" s="52"/>
      <c r="C644" s="61"/>
      <c r="D644" s="51"/>
      <c r="E644" s="51" t="s">
        <v>1920</v>
      </c>
      <c r="F644" s="55" t="s">
        <v>1921</v>
      </c>
      <c r="G644" s="56"/>
      <c r="H644" s="57"/>
      <c r="I644" s="51"/>
      <c r="J644" s="51">
        <f>443</f>
        <v>443</v>
      </c>
      <c r="K644" s="58">
        <v>2.1643518518518518E-3</v>
      </c>
      <c r="L644" s="59" t="s">
        <v>1867</v>
      </c>
      <c r="M644" s="51"/>
      <c r="N644" s="51"/>
      <c r="O644" s="51"/>
      <c r="P644" s="51"/>
      <c r="Q644" s="37" t="str">
        <f t="shared" ca="1" si="0"/>
        <v/>
      </c>
      <c r="R644" s="52"/>
      <c r="S644" s="52"/>
      <c r="T644" s="52"/>
      <c r="U644" s="61"/>
      <c r="V644" s="62"/>
      <c r="W644" s="63"/>
      <c r="X644" s="64"/>
      <c r="Y644" s="18"/>
      <c r="Z644" s="18"/>
      <c r="AA644" s="18"/>
      <c r="AB644" s="18"/>
    </row>
    <row r="645" spans="1:28">
      <c r="A645" s="51">
        <v>644</v>
      </c>
      <c r="B645" s="52"/>
      <c r="C645" s="61"/>
      <c r="D645" s="51"/>
      <c r="E645" s="51" t="s">
        <v>1922</v>
      </c>
      <c r="F645" s="55" t="s">
        <v>1923</v>
      </c>
      <c r="G645" s="56"/>
      <c r="H645" s="57"/>
      <c r="I645" s="51"/>
      <c r="J645" s="51">
        <f>467</f>
        <v>467</v>
      </c>
      <c r="K645" s="58">
        <v>1.2268518518518518E-3</v>
      </c>
      <c r="L645" s="59" t="s">
        <v>1867</v>
      </c>
      <c r="M645" s="51"/>
      <c r="N645" s="51"/>
      <c r="O645" s="51"/>
      <c r="P645" s="51"/>
      <c r="Q645" s="37" t="str">
        <f t="shared" ca="1" si="0"/>
        <v/>
      </c>
      <c r="R645" s="52"/>
      <c r="S645" s="52"/>
      <c r="T645" s="52"/>
      <c r="U645" s="61"/>
      <c r="V645" s="62"/>
      <c r="W645" s="63"/>
      <c r="X645" s="64"/>
      <c r="Y645" s="18"/>
      <c r="Z645" s="18"/>
      <c r="AA645" s="18"/>
      <c r="AB645" s="18"/>
    </row>
    <row r="646" spans="1:28">
      <c r="A646" s="51">
        <v>645</v>
      </c>
      <c r="B646" s="52"/>
      <c r="C646" s="61"/>
      <c r="D646" s="51"/>
      <c r="E646" s="51" t="s">
        <v>1924</v>
      </c>
      <c r="F646" s="55" t="s">
        <v>1925</v>
      </c>
      <c r="G646" s="56"/>
      <c r="H646" s="57"/>
      <c r="I646" s="51"/>
      <c r="J646" s="51">
        <f>360</f>
        <v>360</v>
      </c>
      <c r="K646" s="58">
        <v>2.5462962962962961E-3</v>
      </c>
      <c r="L646" s="59" t="s">
        <v>1867</v>
      </c>
      <c r="M646" s="51"/>
      <c r="N646" s="51"/>
      <c r="O646" s="51"/>
      <c r="P646" s="51"/>
      <c r="Q646" s="37" t="str">
        <f t="shared" ca="1" si="0"/>
        <v/>
      </c>
      <c r="R646" s="52"/>
      <c r="S646" s="52"/>
      <c r="T646" s="52"/>
      <c r="U646" s="61"/>
      <c r="V646" s="62"/>
      <c r="W646" s="63"/>
      <c r="X646" s="64"/>
      <c r="Y646" s="18"/>
      <c r="Z646" s="18"/>
      <c r="AA646" s="18"/>
      <c r="AB646" s="18"/>
    </row>
    <row r="647" spans="1:28">
      <c r="A647" s="51">
        <v>646</v>
      </c>
      <c r="B647" s="52"/>
      <c r="C647" s="61"/>
      <c r="D647" s="51"/>
      <c r="E647" s="51" t="s">
        <v>1926</v>
      </c>
      <c r="F647" s="55" t="s">
        <v>1927</v>
      </c>
      <c r="G647" s="56"/>
      <c r="H647" s="57"/>
      <c r="I647" s="51"/>
      <c r="J647" s="51">
        <f>771</f>
        <v>771</v>
      </c>
      <c r="K647" s="58">
        <v>4.2476851851851851E-3</v>
      </c>
      <c r="L647" s="59" t="s">
        <v>1867</v>
      </c>
      <c r="M647" s="51"/>
      <c r="N647" s="51"/>
      <c r="O647" s="51"/>
      <c r="P647" s="51"/>
      <c r="Q647" s="37" t="str">
        <f t="shared" ca="1" si="0"/>
        <v/>
      </c>
      <c r="R647" s="52"/>
      <c r="S647" s="52"/>
      <c r="T647" s="52"/>
      <c r="U647" s="61"/>
      <c r="V647" s="62"/>
      <c r="W647" s="63"/>
      <c r="X647" s="64"/>
      <c r="Y647" s="18"/>
      <c r="Z647" s="18"/>
      <c r="AA647" s="18"/>
      <c r="AB647" s="18"/>
    </row>
    <row r="648" spans="1:28">
      <c r="A648" s="51">
        <v>647</v>
      </c>
      <c r="B648" s="52"/>
      <c r="C648" s="61"/>
      <c r="D648" s="51"/>
      <c r="E648" s="51" t="s">
        <v>1928</v>
      </c>
      <c r="F648" s="55" t="s">
        <v>1929</v>
      </c>
      <c r="G648" s="56"/>
      <c r="H648" s="57"/>
      <c r="I648" s="51"/>
      <c r="J648" s="51">
        <f>546</f>
        <v>546</v>
      </c>
      <c r="K648" s="58">
        <v>2.1064814814814813E-3</v>
      </c>
      <c r="L648" s="59" t="s">
        <v>1867</v>
      </c>
      <c r="M648" s="51"/>
      <c r="N648" s="51"/>
      <c r="O648" s="51"/>
      <c r="P648" s="51"/>
      <c r="Q648" s="37" t="str">
        <f t="shared" ca="1" si="0"/>
        <v/>
      </c>
      <c r="R648" s="52"/>
      <c r="S648" s="52"/>
      <c r="T648" s="52"/>
      <c r="U648" s="61"/>
      <c r="V648" s="62"/>
      <c r="W648" s="63"/>
      <c r="X648" s="64"/>
      <c r="Y648" s="18"/>
      <c r="Z648" s="18"/>
      <c r="AA648" s="18"/>
      <c r="AB648" s="18"/>
    </row>
    <row r="649" spans="1:28">
      <c r="A649" s="51">
        <v>648</v>
      </c>
      <c r="B649" s="52"/>
      <c r="C649" s="61"/>
      <c r="D649" s="51"/>
      <c r="E649" s="51" t="s">
        <v>1930</v>
      </c>
      <c r="F649" s="55" t="s">
        <v>1931</v>
      </c>
      <c r="G649" s="56"/>
      <c r="H649" s="57"/>
      <c r="I649" s="51"/>
      <c r="J649" s="51">
        <f>2.5*1000</f>
        <v>2500</v>
      </c>
      <c r="K649" s="58">
        <v>3.5532407407407405E-3</v>
      </c>
      <c r="L649" s="59" t="s">
        <v>1867</v>
      </c>
      <c r="M649" s="51"/>
      <c r="N649" s="51"/>
      <c r="O649" s="51"/>
      <c r="P649" s="51"/>
      <c r="Q649" s="37" t="str">
        <f t="shared" ca="1" si="0"/>
        <v/>
      </c>
      <c r="R649" s="52"/>
      <c r="S649" s="52"/>
      <c r="T649" s="52"/>
      <c r="U649" s="61"/>
      <c r="V649" s="62"/>
      <c r="W649" s="63"/>
      <c r="X649" s="64"/>
      <c r="Y649" s="18"/>
      <c r="Z649" s="18"/>
      <c r="AA649" s="18"/>
      <c r="AB649" s="18"/>
    </row>
    <row r="650" spans="1:28">
      <c r="A650" s="51">
        <v>649</v>
      </c>
      <c r="B650" s="52"/>
      <c r="C650" s="61"/>
      <c r="D650" s="51"/>
      <c r="E650" s="51" t="s">
        <v>1932</v>
      </c>
      <c r="F650" s="55" t="s">
        <v>1933</v>
      </c>
      <c r="G650" s="56"/>
      <c r="H650" s="57"/>
      <c r="I650" s="51"/>
      <c r="J650" s="51">
        <f>570</f>
        <v>570</v>
      </c>
      <c r="K650" s="58">
        <v>1.3773148148148147E-3</v>
      </c>
      <c r="L650" s="59" t="s">
        <v>1867</v>
      </c>
      <c r="M650" s="51"/>
      <c r="N650" s="51"/>
      <c r="O650" s="51"/>
      <c r="P650" s="51"/>
      <c r="Q650" s="37" t="str">
        <f t="shared" ca="1" si="0"/>
        <v/>
      </c>
      <c r="R650" s="52"/>
      <c r="S650" s="52"/>
      <c r="T650" s="52"/>
      <c r="U650" s="61"/>
      <c r="V650" s="62"/>
      <c r="W650" s="63"/>
      <c r="X650" s="64"/>
      <c r="Y650" s="18"/>
      <c r="Z650" s="18"/>
      <c r="AA650" s="18"/>
      <c r="AB650" s="18"/>
    </row>
    <row r="651" spans="1:28">
      <c r="A651" s="51">
        <v>650</v>
      </c>
      <c r="B651" s="52"/>
      <c r="C651" s="61"/>
      <c r="D651" s="51"/>
      <c r="E651" s="51" t="s">
        <v>1934</v>
      </c>
      <c r="F651" s="55" t="s">
        <v>1935</v>
      </c>
      <c r="G651" s="56"/>
      <c r="H651" s="57"/>
      <c r="I651" s="51"/>
      <c r="J651" s="51">
        <f>2.6*1000</f>
        <v>2600</v>
      </c>
      <c r="K651" s="58">
        <v>1.9212962962962962E-3</v>
      </c>
      <c r="L651" s="59" t="s">
        <v>1867</v>
      </c>
      <c r="M651" s="51"/>
      <c r="N651" s="51"/>
      <c r="O651" s="51"/>
      <c r="P651" s="51"/>
      <c r="Q651" s="37" t="str">
        <f t="shared" ca="1" si="0"/>
        <v/>
      </c>
      <c r="R651" s="52"/>
      <c r="S651" s="52"/>
      <c r="T651" s="52"/>
      <c r="U651" s="61"/>
      <c r="V651" s="62"/>
      <c r="W651" s="63"/>
      <c r="X651" s="64"/>
      <c r="Y651" s="18"/>
      <c r="Z651" s="18"/>
      <c r="AA651" s="18"/>
      <c r="AB651" s="18"/>
    </row>
    <row r="652" spans="1:28">
      <c r="A652" s="51">
        <v>651</v>
      </c>
      <c r="B652" s="52"/>
      <c r="C652" s="61"/>
      <c r="D652" s="51"/>
      <c r="E652" s="51" t="s">
        <v>1936</v>
      </c>
      <c r="F652" s="55" t="s">
        <v>1937</v>
      </c>
      <c r="G652" s="56"/>
      <c r="H652" s="57"/>
      <c r="I652" s="51"/>
      <c r="J652" s="51">
        <f>173</f>
        <v>173</v>
      </c>
      <c r="K652" s="58">
        <v>8.1018518518518516E-4</v>
      </c>
      <c r="L652" s="59" t="s">
        <v>1867</v>
      </c>
      <c r="M652" s="51"/>
      <c r="N652" s="51"/>
      <c r="O652" s="51"/>
      <c r="P652" s="51"/>
      <c r="Q652" s="37" t="str">
        <f t="shared" ca="1" si="0"/>
        <v/>
      </c>
      <c r="R652" s="52"/>
      <c r="S652" s="52"/>
      <c r="T652" s="52"/>
      <c r="U652" s="61"/>
      <c r="V652" s="62"/>
      <c r="W652" s="63"/>
      <c r="X652" s="64"/>
      <c r="Y652" s="18"/>
      <c r="Z652" s="18"/>
      <c r="AA652" s="18"/>
      <c r="AB652" s="18"/>
    </row>
    <row r="653" spans="1:28">
      <c r="A653" s="51">
        <v>652</v>
      </c>
      <c r="B653" s="52"/>
      <c r="C653" s="61"/>
      <c r="D653" s="51"/>
      <c r="E653" s="51" t="s">
        <v>1938</v>
      </c>
      <c r="F653" s="55" t="s">
        <v>1939</v>
      </c>
      <c r="G653" s="56"/>
      <c r="H653" s="57"/>
      <c r="I653" s="51"/>
      <c r="J653" s="51">
        <f>789</f>
        <v>789</v>
      </c>
      <c r="K653" s="58">
        <v>4.108796296296297E-3</v>
      </c>
      <c r="L653" s="59" t="s">
        <v>1867</v>
      </c>
      <c r="M653" s="51"/>
      <c r="N653" s="51"/>
      <c r="O653" s="51"/>
      <c r="P653" s="51"/>
      <c r="Q653" s="37" t="str">
        <f t="shared" ca="1" si="0"/>
        <v/>
      </c>
      <c r="R653" s="52"/>
      <c r="S653" s="52"/>
      <c r="T653" s="52"/>
      <c r="U653" s="61"/>
      <c r="V653" s="62"/>
      <c r="W653" s="63"/>
      <c r="X653" s="64"/>
      <c r="Y653" s="18"/>
      <c r="Z653" s="18"/>
      <c r="AA653" s="18"/>
      <c r="AB653" s="18"/>
    </row>
    <row r="654" spans="1:28">
      <c r="A654" s="51">
        <v>653</v>
      </c>
      <c r="B654" s="52"/>
      <c r="C654" s="61"/>
      <c r="D654" s="51"/>
      <c r="E654" s="51" t="s">
        <v>1940</v>
      </c>
      <c r="F654" s="55" t="s">
        <v>1941</v>
      </c>
      <c r="G654" s="56"/>
      <c r="H654" s="57"/>
      <c r="I654" s="51"/>
      <c r="J654" s="51">
        <f>15*1000</f>
        <v>15000</v>
      </c>
      <c r="K654" s="58">
        <v>9.2048611111111109E-2</v>
      </c>
      <c r="L654" s="59" t="s">
        <v>1867</v>
      </c>
      <c r="M654" s="51"/>
      <c r="N654" s="51"/>
      <c r="O654" s="51"/>
      <c r="P654" s="51"/>
      <c r="Q654" s="37" t="str">
        <f t="shared" ca="1" si="0"/>
        <v/>
      </c>
      <c r="R654" s="52"/>
      <c r="S654" s="52"/>
      <c r="T654" s="52"/>
      <c r="U654" s="61"/>
      <c r="V654" s="62"/>
      <c r="W654" s="63"/>
      <c r="X654" s="64"/>
      <c r="Y654" s="18"/>
      <c r="Z654" s="18"/>
      <c r="AA654" s="18"/>
      <c r="AB654" s="18"/>
    </row>
    <row r="655" spans="1:28">
      <c r="A655" s="51">
        <v>654</v>
      </c>
      <c r="B655" s="52"/>
      <c r="C655" s="61"/>
      <c r="D655" s="51"/>
      <c r="E655" s="51" t="s">
        <v>1942</v>
      </c>
      <c r="F655" s="55" t="s">
        <v>1943</v>
      </c>
      <c r="G655" s="56"/>
      <c r="H655" s="57"/>
      <c r="I655" s="51"/>
      <c r="J655" s="51">
        <f>1.6*1000</f>
        <v>1600</v>
      </c>
      <c r="K655" s="58">
        <v>1.8171296296296297E-3</v>
      </c>
      <c r="L655" s="59" t="s">
        <v>1867</v>
      </c>
      <c r="M655" s="51"/>
      <c r="N655" s="51"/>
      <c r="O655" s="51"/>
      <c r="P655" s="51"/>
      <c r="Q655" s="37" t="str">
        <f t="shared" ca="1" si="0"/>
        <v/>
      </c>
      <c r="R655" s="52"/>
      <c r="S655" s="52"/>
      <c r="T655" s="52"/>
      <c r="U655" s="61"/>
      <c r="V655" s="62"/>
      <c r="W655" s="63"/>
      <c r="X655" s="64"/>
      <c r="Y655" s="18"/>
      <c r="Z655" s="18"/>
      <c r="AA655" s="18"/>
      <c r="AB655" s="18"/>
    </row>
    <row r="656" spans="1:28">
      <c r="A656" s="51">
        <v>655</v>
      </c>
      <c r="B656" s="52"/>
      <c r="C656" s="61"/>
      <c r="D656" s="51"/>
      <c r="E656" s="51" t="s">
        <v>1944</v>
      </c>
      <c r="F656" s="55" t="s">
        <v>1945</v>
      </c>
      <c r="G656" s="56"/>
      <c r="H656" s="57"/>
      <c r="I656" s="51"/>
      <c r="J656" s="51">
        <f>1.2*1000</f>
        <v>1200</v>
      </c>
      <c r="K656" s="58">
        <v>1.2152777777777778E-3</v>
      </c>
      <c r="L656" s="59" t="s">
        <v>1946</v>
      </c>
      <c r="M656" s="51"/>
      <c r="N656" s="51"/>
      <c r="O656" s="51"/>
      <c r="P656" s="51"/>
      <c r="Q656" s="37" t="str">
        <f t="shared" ca="1" si="0"/>
        <v/>
      </c>
      <c r="R656" s="52"/>
      <c r="S656" s="52"/>
      <c r="T656" s="52"/>
      <c r="U656" s="61"/>
      <c r="V656" s="62"/>
      <c r="W656" s="63"/>
      <c r="X656" s="64"/>
      <c r="Y656" s="18"/>
      <c r="Z656" s="18"/>
      <c r="AA656" s="18"/>
      <c r="AB656" s="18"/>
    </row>
    <row r="657" spans="1:28">
      <c r="A657" s="51">
        <v>656</v>
      </c>
      <c r="B657" s="52"/>
      <c r="C657" s="61"/>
      <c r="D657" s="51"/>
      <c r="E657" s="51" t="s">
        <v>1947</v>
      </c>
      <c r="F657" s="55" t="s">
        <v>1948</v>
      </c>
      <c r="G657" s="56"/>
      <c r="H657" s="57"/>
      <c r="I657" s="51"/>
      <c r="J657" s="51">
        <f>2.3*1000</f>
        <v>2300</v>
      </c>
      <c r="K657" s="58">
        <v>3.7962962962962963E-3</v>
      </c>
      <c r="L657" s="59" t="s">
        <v>1946</v>
      </c>
      <c r="M657" s="51"/>
      <c r="N657" s="51"/>
      <c r="O657" s="51"/>
      <c r="P657" s="51"/>
      <c r="Q657" s="37" t="str">
        <f t="shared" ca="1" si="0"/>
        <v/>
      </c>
      <c r="R657" s="52"/>
      <c r="S657" s="52"/>
      <c r="T657" s="52"/>
      <c r="U657" s="61"/>
      <c r="V657" s="62"/>
      <c r="W657" s="63"/>
      <c r="X657" s="64"/>
      <c r="Y657" s="18"/>
      <c r="Z657" s="18"/>
      <c r="AA657" s="18"/>
      <c r="AB657" s="18"/>
    </row>
    <row r="658" spans="1:28">
      <c r="A658" s="51">
        <v>657</v>
      </c>
      <c r="B658" s="52"/>
      <c r="C658" s="61"/>
      <c r="D658" s="51"/>
      <c r="E658" s="51" t="s">
        <v>1949</v>
      </c>
      <c r="F658" s="55" t="s">
        <v>1950</v>
      </c>
      <c r="G658" s="56"/>
      <c r="H658" s="57"/>
      <c r="I658" s="51"/>
      <c r="J658" s="51">
        <f>2.6*1000</f>
        <v>2600</v>
      </c>
      <c r="K658" s="58">
        <v>1.2916666666666667E-2</v>
      </c>
      <c r="L658" s="59" t="s">
        <v>1946</v>
      </c>
      <c r="M658" s="51"/>
      <c r="N658" s="51"/>
      <c r="O658" s="51"/>
      <c r="P658" s="51"/>
      <c r="Q658" s="37" t="str">
        <f t="shared" ca="1" si="0"/>
        <v/>
      </c>
      <c r="R658" s="52"/>
      <c r="S658" s="52"/>
      <c r="T658" s="52"/>
      <c r="U658" s="61"/>
      <c r="V658" s="62"/>
      <c r="W658" s="63"/>
      <c r="X658" s="64"/>
      <c r="Y658" s="18"/>
      <c r="Z658" s="18"/>
      <c r="AA658" s="18"/>
      <c r="AB658" s="18"/>
    </row>
    <row r="659" spans="1:28">
      <c r="A659" s="51">
        <v>658</v>
      </c>
      <c r="B659" s="52"/>
      <c r="C659" s="61"/>
      <c r="D659" s="51"/>
      <c r="E659" s="51" t="s">
        <v>1951</v>
      </c>
      <c r="F659" s="55" t="s">
        <v>1952</v>
      </c>
      <c r="G659" s="56"/>
      <c r="H659" s="57"/>
      <c r="I659" s="51"/>
      <c r="J659" s="51">
        <f>5.8*1000</f>
        <v>5800</v>
      </c>
      <c r="K659" s="58">
        <v>4.0046296296296297E-3</v>
      </c>
      <c r="L659" s="59" t="s">
        <v>1946</v>
      </c>
      <c r="M659" s="51"/>
      <c r="N659" s="51"/>
      <c r="O659" s="51"/>
      <c r="P659" s="51"/>
      <c r="Q659" s="37" t="str">
        <f t="shared" ca="1" si="0"/>
        <v/>
      </c>
      <c r="R659" s="52"/>
      <c r="S659" s="52"/>
      <c r="T659" s="52"/>
      <c r="U659" s="61"/>
      <c r="V659" s="62"/>
      <c r="W659" s="63"/>
      <c r="X659" s="64"/>
      <c r="Y659" s="18"/>
      <c r="Z659" s="18"/>
      <c r="AA659" s="18"/>
      <c r="AB659" s="18"/>
    </row>
    <row r="660" spans="1:28">
      <c r="A660" s="51">
        <v>659</v>
      </c>
      <c r="B660" s="52"/>
      <c r="C660" s="61"/>
      <c r="D660" s="51"/>
      <c r="E660" s="51" t="s">
        <v>1953</v>
      </c>
      <c r="F660" s="55" t="s">
        <v>1954</v>
      </c>
      <c r="G660" s="56"/>
      <c r="H660" s="57"/>
      <c r="I660" s="51"/>
      <c r="J660" s="51">
        <f>1.4*1000</f>
        <v>1400</v>
      </c>
      <c r="K660" s="58">
        <v>1.8634259259259261E-3</v>
      </c>
      <c r="L660" s="59" t="s">
        <v>1946</v>
      </c>
      <c r="M660" s="51"/>
      <c r="N660" s="51"/>
      <c r="O660" s="51"/>
      <c r="P660" s="51"/>
      <c r="Q660" s="37" t="str">
        <f t="shared" ca="1" si="0"/>
        <v/>
      </c>
      <c r="R660" s="52"/>
      <c r="S660" s="52"/>
      <c r="T660" s="52"/>
      <c r="U660" s="61"/>
      <c r="V660" s="62"/>
      <c r="W660" s="63"/>
      <c r="X660" s="64"/>
      <c r="Y660" s="18"/>
      <c r="Z660" s="18"/>
      <c r="AA660" s="18"/>
      <c r="AB660" s="18"/>
    </row>
    <row r="661" spans="1:28">
      <c r="A661" s="51">
        <v>660</v>
      </c>
      <c r="B661" s="52"/>
      <c r="C661" s="61"/>
      <c r="D661" s="51"/>
      <c r="E661" s="51" t="s">
        <v>1955</v>
      </c>
      <c r="F661" s="55" t="s">
        <v>1956</v>
      </c>
      <c r="G661" s="56"/>
      <c r="H661" s="57"/>
      <c r="I661" s="51"/>
      <c r="J661" s="51">
        <f>773</f>
        <v>773</v>
      </c>
      <c r="K661" s="58">
        <v>1.5624999999999999E-3</v>
      </c>
      <c r="L661" s="59" t="s">
        <v>1946</v>
      </c>
      <c r="M661" s="51"/>
      <c r="N661" s="51"/>
      <c r="O661" s="51"/>
      <c r="P661" s="51"/>
      <c r="Q661" s="37" t="str">
        <f t="shared" ca="1" si="0"/>
        <v/>
      </c>
      <c r="R661" s="52"/>
      <c r="S661" s="52"/>
      <c r="T661" s="52"/>
      <c r="U661" s="61"/>
      <c r="V661" s="62"/>
      <c r="W661" s="63"/>
      <c r="X661" s="64"/>
      <c r="Y661" s="18"/>
      <c r="Z661" s="18"/>
      <c r="AA661" s="18"/>
      <c r="AB661" s="18"/>
    </row>
    <row r="662" spans="1:28">
      <c r="A662" s="51">
        <v>661</v>
      </c>
      <c r="B662" s="52"/>
      <c r="C662" s="61"/>
      <c r="D662" s="51"/>
      <c r="E662" s="51" t="s">
        <v>1957</v>
      </c>
      <c r="F662" s="55" t="s">
        <v>1958</v>
      </c>
      <c r="G662" s="56"/>
      <c r="H662" s="57"/>
      <c r="I662" s="51"/>
      <c r="J662" s="51">
        <f>1*1000</f>
        <v>1000</v>
      </c>
      <c r="K662" s="58">
        <v>8.0324074074074065E-3</v>
      </c>
      <c r="L662" s="59" t="s">
        <v>1946</v>
      </c>
      <c r="M662" s="51"/>
      <c r="N662" s="51"/>
      <c r="O662" s="51"/>
      <c r="P662" s="51"/>
      <c r="Q662" s="37" t="str">
        <f t="shared" ca="1" si="0"/>
        <v/>
      </c>
      <c r="R662" s="52"/>
      <c r="S662" s="52"/>
      <c r="T662" s="52"/>
      <c r="U662" s="61"/>
      <c r="V662" s="62"/>
      <c r="W662" s="63"/>
      <c r="X662" s="64"/>
      <c r="Y662" s="18"/>
      <c r="Z662" s="18"/>
      <c r="AA662" s="18"/>
      <c r="AB662" s="18"/>
    </row>
    <row r="663" spans="1:28">
      <c r="A663" s="51">
        <v>662</v>
      </c>
      <c r="B663" s="52"/>
      <c r="C663" s="61"/>
      <c r="D663" s="51"/>
      <c r="E663" s="51" t="s">
        <v>1959</v>
      </c>
      <c r="F663" s="55" t="s">
        <v>1960</v>
      </c>
      <c r="G663" s="56"/>
      <c r="H663" s="57"/>
      <c r="I663" s="51"/>
      <c r="J663" s="51">
        <f>536</f>
        <v>536</v>
      </c>
      <c r="K663" s="58">
        <v>1.0995370370370371E-3</v>
      </c>
      <c r="L663" s="59" t="s">
        <v>1946</v>
      </c>
      <c r="M663" s="51"/>
      <c r="N663" s="51"/>
      <c r="O663" s="51"/>
      <c r="P663" s="51"/>
      <c r="Q663" s="37" t="str">
        <f t="shared" ca="1" si="0"/>
        <v/>
      </c>
      <c r="R663" s="52"/>
      <c r="S663" s="52"/>
      <c r="T663" s="52"/>
      <c r="U663" s="61"/>
      <c r="V663" s="62"/>
      <c r="W663" s="63"/>
      <c r="X663" s="64"/>
      <c r="Y663" s="18"/>
      <c r="Z663" s="18"/>
      <c r="AA663" s="18"/>
      <c r="AB663" s="18"/>
    </row>
    <row r="664" spans="1:28">
      <c r="A664" s="51">
        <v>663</v>
      </c>
      <c r="B664" s="52"/>
      <c r="C664" s="61"/>
      <c r="D664" s="51"/>
      <c r="E664" s="51" t="s">
        <v>1961</v>
      </c>
      <c r="F664" s="55" t="s">
        <v>1962</v>
      </c>
      <c r="G664" s="56"/>
      <c r="H664" s="57"/>
      <c r="I664" s="51"/>
      <c r="J664" s="51">
        <f>912</f>
        <v>912</v>
      </c>
      <c r="K664" s="58">
        <v>1.9444444444444442E-3</v>
      </c>
      <c r="L664" s="59" t="s">
        <v>1946</v>
      </c>
      <c r="M664" s="51"/>
      <c r="N664" s="51"/>
      <c r="O664" s="51"/>
      <c r="P664" s="51"/>
      <c r="Q664" s="37" t="str">
        <f t="shared" ca="1" si="0"/>
        <v/>
      </c>
      <c r="R664" s="52"/>
      <c r="S664" s="52"/>
      <c r="T664" s="52"/>
      <c r="U664" s="61"/>
      <c r="V664" s="62"/>
      <c r="W664" s="63"/>
      <c r="X664" s="64"/>
      <c r="Y664" s="18"/>
      <c r="Z664" s="18"/>
      <c r="AA664" s="18"/>
      <c r="AB664" s="18"/>
    </row>
    <row r="665" spans="1:28">
      <c r="A665" s="51">
        <v>664</v>
      </c>
      <c r="B665" s="52"/>
      <c r="C665" s="61"/>
      <c r="D665" s="51"/>
      <c r="E665" s="51" t="s">
        <v>1963</v>
      </c>
      <c r="F665" s="55" t="s">
        <v>1964</v>
      </c>
      <c r="G665" s="56"/>
      <c r="H665" s="57"/>
      <c r="I665" s="51"/>
      <c r="J665" s="51">
        <f>4.1*1000</f>
        <v>4100</v>
      </c>
      <c r="K665" s="58">
        <v>4.3020833333333335E-2</v>
      </c>
      <c r="L665" s="59" t="s">
        <v>1946</v>
      </c>
      <c r="M665" s="51"/>
      <c r="N665" s="51"/>
      <c r="O665" s="51"/>
      <c r="P665" s="51"/>
      <c r="Q665" s="37" t="str">
        <f t="shared" ca="1" si="0"/>
        <v/>
      </c>
      <c r="R665" s="52"/>
      <c r="S665" s="52"/>
      <c r="T665" s="52"/>
      <c r="U665" s="61"/>
      <c r="V665" s="62"/>
      <c r="W665" s="63"/>
      <c r="X665" s="64"/>
      <c r="Y665" s="18"/>
      <c r="Z665" s="18"/>
      <c r="AA665" s="18"/>
      <c r="AB665" s="18"/>
    </row>
    <row r="666" spans="1:28">
      <c r="A666" s="51">
        <v>665</v>
      </c>
      <c r="B666" s="52"/>
      <c r="C666" s="61"/>
      <c r="D666" s="51"/>
      <c r="E666" s="51" t="s">
        <v>1965</v>
      </c>
      <c r="F666" s="55" t="s">
        <v>1966</v>
      </c>
      <c r="G666" s="56"/>
      <c r="H666" s="57"/>
      <c r="I666" s="51"/>
      <c r="J666" s="51">
        <f>728</f>
        <v>728</v>
      </c>
      <c r="K666" s="58">
        <v>1.5740740740740741E-3</v>
      </c>
      <c r="L666" s="59" t="s">
        <v>1946</v>
      </c>
      <c r="M666" s="51"/>
      <c r="N666" s="51"/>
      <c r="O666" s="51"/>
      <c r="P666" s="51"/>
      <c r="Q666" s="37" t="str">
        <f t="shared" ca="1" si="0"/>
        <v/>
      </c>
      <c r="R666" s="52"/>
      <c r="S666" s="52"/>
      <c r="T666" s="52"/>
      <c r="U666" s="61"/>
      <c r="V666" s="62"/>
      <c r="W666" s="63"/>
      <c r="X666" s="64"/>
      <c r="Y666" s="18"/>
      <c r="Z666" s="18"/>
      <c r="AA666" s="18"/>
      <c r="AB666" s="18"/>
    </row>
    <row r="667" spans="1:28">
      <c r="A667" s="51">
        <v>666</v>
      </c>
      <c r="B667" s="52"/>
      <c r="C667" s="61"/>
      <c r="D667" s="51"/>
      <c r="E667" s="51" t="s">
        <v>1967</v>
      </c>
      <c r="F667" s="55" t="s">
        <v>1968</v>
      </c>
      <c r="G667" s="56"/>
      <c r="H667" s="57"/>
      <c r="I667" s="51"/>
      <c r="J667" s="51">
        <f>2.7*1000</f>
        <v>2700</v>
      </c>
      <c r="K667" s="58">
        <v>2.4074074074074076E-3</v>
      </c>
      <c r="L667" s="59" t="s">
        <v>1946</v>
      </c>
      <c r="M667" s="51"/>
      <c r="N667" s="51"/>
      <c r="O667" s="51"/>
      <c r="P667" s="51"/>
      <c r="Q667" s="37" t="str">
        <f t="shared" ca="1" si="0"/>
        <v/>
      </c>
      <c r="R667" s="52"/>
      <c r="S667" s="52"/>
      <c r="T667" s="52"/>
      <c r="U667" s="61"/>
      <c r="V667" s="62"/>
      <c r="W667" s="63"/>
      <c r="X667" s="64"/>
      <c r="Y667" s="18"/>
      <c r="Z667" s="18"/>
      <c r="AA667" s="18"/>
      <c r="AB667" s="18"/>
    </row>
    <row r="668" spans="1:28">
      <c r="A668" s="51">
        <v>667</v>
      </c>
      <c r="B668" s="69"/>
      <c r="C668" s="61"/>
      <c r="D668" s="51"/>
      <c r="E668" s="51" t="s">
        <v>1969</v>
      </c>
      <c r="F668" s="55" t="s">
        <v>1970</v>
      </c>
      <c r="G668" s="56"/>
      <c r="H668" s="57"/>
      <c r="I668" s="51"/>
      <c r="J668" s="51">
        <f>2.4*1000</f>
        <v>2400</v>
      </c>
      <c r="K668" s="58">
        <v>2.1180555555555553E-3</v>
      </c>
      <c r="L668" s="59" t="s">
        <v>1946</v>
      </c>
      <c r="M668" s="51"/>
      <c r="N668" s="51"/>
      <c r="O668" s="51"/>
      <c r="P668" s="51"/>
      <c r="Q668" s="37" t="str">
        <f t="shared" ca="1" si="0"/>
        <v/>
      </c>
      <c r="R668" s="52"/>
      <c r="S668" s="52"/>
      <c r="T668" s="52"/>
      <c r="U668" s="61"/>
      <c r="V668" s="62"/>
      <c r="W668" s="63"/>
      <c r="X668" s="64"/>
      <c r="Y668" s="18"/>
      <c r="Z668" s="18"/>
      <c r="AA668" s="18"/>
      <c r="AB668" s="18"/>
    </row>
    <row r="669" spans="1:28">
      <c r="A669" s="51">
        <v>668</v>
      </c>
      <c r="B669" s="52"/>
      <c r="C669" s="61"/>
      <c r="D669" s="51"/>
      <c r="E669" s="51" t="s">
        <v>1971</v>
      </c>
      <c r="F669" s="55" t="s">
        <v>1972</v>
      </c>
      <c r="G669" s="56"/>
      <c r="H669" s="57"/>
      <c r="I669" s="51"/>
      <c r="J669" s="51">
        <f>2.8*1000</f>
        <v>2800</v>
      </c>
      <c r="K669" s="58">
        <v>6.9444444444444441E-3</v>
      </c>
      <c r="L669" s="59" t="s">
        <v>1946</v>
      </c>
      <c r="M669" s="51"/>
      <c r="N669" s="51"/>
      <c r="O669" s="51"/>
      <c r="P669" s="51"/>
      <c r="Q669" s="37" t="str">
        <f t="shared" ca="1" si="0"/>
        <v/>
      </c>
      <c r="R669" s="52"/>
      <c r="S669" s="52"/>
      <c r="T669" s="52"/>
      <c r="U669" s="61"/>
      <c r="V669" s="62"/>
      <c r="W669" s="63"/>
      <c r="X669" s="64"/>
      <c r="Y669" s="18"/>
      <c r="Z669" s="18"/>
      <c r="AA669" s="18"/>
      <c r="AB669" s="18"/>
    </row>
    <row r="670" spans="1:28">
      <c r="A670" s="51">
        <v>669</v>
      </c>
      <c r="B670" s="52"/>
      <c r="C670" s="61"/>
      <c r="D670" s="51"/>
      <c r="E670" s="51" t="s">
        <v>1973</v>
      </c>
      <c r="F670" s="55" t="s">
        <v>1974</v>
      </c>
      <c r="G670" s="56"/>
      <c r="H670" s="57"/>
      <c r="I670" s="51"/>
      <c r="J670" s="51">
        <f>14*1000</f>
        <v>14000</v>
      </c>
      <c r="K670" s="58">
        <v>5.6435185185185179E-2</v>
      </c>
      <c r="L670" s="59" t="s">
        <v>1975</v>
      </c>
      <c r="M670" s="51"/>
      <c r="N670" s="51"/>
      <c r="O670" s="51"/>
      <c r="P670" s="51"/>
      <c r="Q670" s="37" t="str">
        <f t="shared" ca="1" si="0"/>
        <v/>
      </c>
      <c r="R670" s="52"/>
      <c r="S670" s="52"/>
      <c r="T670" s="52"/>
      <c r="U670" s="61"/>
      <c r="V670" s="62"/>
      <c r="W670" s="63"/>
      <c r="X670" s="64"/>
      <c r="Y670" s="18"/>
      <c r="Z670" s="18"/>
      <c r="AA670" s="18"/>
      <c r="AB670" s="18"/>
    </row>
    <row r="671" spans="1:28">
      <c r="A671" s="51">
        <v>670</v>
      </c>
      <c r="B671" s="52"/>
      <c r="C671" s="61"/>
      <c r="D671" s="51"/>
      <c r="E671" s="51" t="s">
        <v>1976</v>
      </c>
      <c r="F671" s="55" t="s">
        <v>1977</v>
      </c>
      <c r="G671" s="56"/>
      <c r="H671" s="57"/>
      <c r="I671" s="51"/>
      <c r="J671" s="51">
        <f>15*1000</f>
        <v>15000</v>
      </c>
      <c r="K671" s="58">
        <v>6.3055555555555545E-2</v>
      </c>
      <c r="L671" s="59" t="s">
        <v>1975</v>
      </c>
      <c r="M671" s="51"/>
      <c r="N671" s="51"/>
      <c r="O671" s="51"/>
      <c r="P671" s="51"/>
      <c r="Q671" s="37" t="str">
        <f t="shared" ca="1" si="0"/>
        <v/>
      </c>
      <c r="R671" s="52"/>
      <c r="S671" s="52"/>
      <c r="T671" s="52"/>
      <c r="U671" s="61"/>
      <c r="V671" s="62"/>
      <c r="W671" s="63"/>
      <c r="X671" s="64"/>
      <c r="Y671" s="18"/>
      <c r="Z671" s="18"/>
      <c r="AA671" s="18"/>
      <c r="AB671" s="18"/>
    </row>
    <row r="672" spans="1:28">
      <c r="A672" s="51">
        <v>671</v>
      </c>
      <c r="B672" s="52"/>
      <c r="C672" s="61"/>
      <c r="D672" s="51"/>
      <c r="E672" s="51" t="s">
        <v>1978</v>
      </c>
      <c r="F672" s="55" t="s">
        <v>1979</v>
      </c>
      <c r="G672" s="56"/>
      <c r="H672" s="57"/>
      <c r="I672" s="51"/>
      <c r="J672" s="51">
        <f>6.8*1000</f>
        <v>6800</v>
      </c>
      <c r="K672" s="58">
        <v>5.9907407407407409E-2</v>
      </c>
      <c r="L672" s="59" t="s">
        <v>1975</v>
      </c>
      <c r="M672" s="51"/>
      <c r="N672" s="51"/>
      <c r="O672" s="51"/>
      <c r="P672" s="51"/>
      <c r="Q672" s="37" t="str">
        <f t="shared" ca="1" si="0"/>
        <v/>
      </c>
      <c r="R672" s="52"/>
      <c r="S672" s="52"/>
      <c r="T672" s="52"/>
      <c r="U672" s="61"/>
      <c r="V672" s="62"/>
      <c r="W672" s="63"/>
      <c r="X672" s="64"/>
      <c r="Y672" s="18"/>
      <c r="Z672" s="18"/>
      <c r="AA672" s="18"/>
      <c r="AB672" s="18"/>
    </row>
    <row r="673" spans="1:28">
      <c r="A673" s="51">
        <v>672</v>
      </c>
      <c r="B673" s="69" t="s">
        <v>98</v>
      </c>
      <c r="C673" s="61"/>
      <c r="D673" s="51"/>
      <c r="E673" s="51" t="s">
        <v>1980</v>
      </c>
      <c r="F673" s="55" t="s">
        <v>1981</v>
      </c>
      <c r="G673" s="56"/>
      <c r="H673" s="57"/>
      <c r="I673" s="51"/>
      <c r="J673" s="51">
        <f>27*1000</f>
        <v>27000</v>
      </c>
      <c r="K673" s="58">
        <v>2.4826388888888887E-2</v>
      </c>
      <c r="L673" s="59" t="s">
        <v>1975</v>
      </c>
      <c r="M673" s="51"/>
      <c r="N673" s="51"/>
      <c r="O673" s="51"/>
      <c r="P673" s="51"/>
      <c r="Q673" s="37" t="str">
        <f t="shared" ca="1" si="0"/>
        <v/>
      </c>
      <c r="R673" s="52"/>
      <c r="S673" s="52"/>
      <c r="T673" s="52"/>
      <c r="U673" s="61"/>
      <c r="V673" s="62"/>
      <c r="W673" s="63"/>
      <c r="X673" s="64"/>
      <c r="Y673" s="18"/>
      <c r="Z673" s="18"/>
      <c r="AA673" s="18"/>
      <c r="AB673" s="18"/>
    </row>
    <row r="674" spans="1:28">
      <c r="A674" s="51">
        <v>673</v>
      </c>
      <c r="B674" s="69" t="s">
        <v>98</v>
      </c>
      <c r="C674" s="61"/>
      <c r="D674" s="54" t="s">
        <v>128</v>
      </c>
      <c r="E674" s="51" t="s">
        <v>1982</v>
      </c>
      <c r="F674" s="55" t="s">
        <v>1983</v>
      </c>
      <c r="G674" s="56"/>
      <c r="H674" s="57"/>
      <c r="I674" s="51"/>
      <c r="J674" s="51">
        <f>10*1000</f>
        <v>10000</v>
      </c>
      <c r="K674" s="58">
        <v>2.8564814814814817E-2</v>
      </c>
      <c r="L674" s="59" t="s">
        <v>1984</v>
      </c>
      <c r="M674" s="51"/>
      <c r="N674" s="51"/>
      <c r="O674" s="51"/>
      <c r="P674" s="51"/>
      <c r="Q674" s="37" t="str">
        <f t="shared" ca="1" si="0"/>
        <v/>
      </c>
      <c r="R674" s="52"/>
      <c r="S674" s="52"/>
      <c r="T674" s="52"/>
      <c r="U674" s="61"/>
      <c r="V674" s="62"/>
      <c r="W674" s="63"/>
      <c r="X674" s="64"/>
      <c r="Y674" s="18"/>
      <c r="Z674" s="18"/>
      <c r="AA674" s="18"/>
      <c r="AB674" s="18"/>
    </row>
    <row r="675" spans="1:28">
      <c r="A675" s="51">
        <v>674</v>
      </c>
      <c r="B675" s="52"/>
      <c r="C675" s="61"/>
      <c r="D675" s="51"/>
      <c r="E675" s="51" t="s">
        <v>1985</v>
      </c>
      <c r="F675" s="55" t="s">
        <v>1986</v>
      </c>
      <c r="G675" s="56"/>
      <c r="H675" s="57"/>
      <c r="I675" s="51"/>
      <c r="J675" s="51">
        <f>1.8*1000</f>
        <v>1800</v>
      </c>
      <c r="K675" s="58">
        <v>3.9583333333333337E-3</v>
      </c>
      <c r="L675" s="59" t="s">
        <v>1984</v>
      </c>
      <c r="M675" s="51"/>
      <c r="N675" s="51"/>
      <c r="O675" s="51"/>
      <c r="P675" s="51"/>
      <c r="Q675" s="37" t="str">
        <f t="shared" ca="1" si="0"/>
        <v/>
      </c>
      <c r="R675" s="52"/>
      <c r="S675" s="52"/>
      <c r="T675" s="52"/>
      <c r="U675" s="61"/>
      <c r="V675" s="62"/>
      <c r="W675" s="63"/>
      <c r="X675" s="64"/>
      <c r="Y675" s="18"/>
      <c r="Z675" s="18"/>
      <c r="AA675" s="18"/>
      <c r="AB675" s="18"/>
    </row>
    <row r="676" spans="1:28">
      <c r="A676" s="51">
        <v>675</v>
      </c>
      <c r="B676" s="52"/>
      <c r="C676" s="61"/>
      <c r="D676" s="51"/>
      <c r="E676" s="51" t="s">
        <v>1987</v>
      </c>
      <c r="F676" s="55" t="s">
        <v>1988</v>
      </c>
      <c r="G676" s="56"/>
      <c r="H676" s="57"/>
      <c r="I676" s="51"/>
      <c r="J676" s="51">
        <f>2.3*1000</f>
        <v>2300</v>
      </c>
      <c r="K676" s="58">
        <v>6.3078703703703706E-2</v>
      </c>
      <c r="L676" s="59" t="s">
        <v>1984</v>
      </c>
      <c r="M676" s="51"/>
      <c r="N676" s="51"/>
      <c r="O676" s="51"/>
      <c r="P676" s="51"/>
      <c r="Q676" s="37" t="str">
        <f t="shared" ca="1" si="0"/>
        <v/>
      </c>
      <c r="R676" s="52"/>
      <c r="S676" s="52"/>
      <c r="T676" s="52"/>
      <c r="U676" s="61"/>
      <c r="V676" s="62"/>
      <c r="W676" s="63"/>
      <c r="X676" s="64"/>
      <c r="Y676" s="18"/>
      <c r="Z676" s="18"/>
      <c r="AA676" s="18"/>
      <c r="AB676" s="18"/>
    </row>
    <row r="677" spans="1:28">
      <c r="A677" s="51">
        <v>676</v>
      </c>
      <c r="B677" s="52"/>
      <c r="C677" s="61"/>
      <c r="D677" s="51"/>
      <c r="E677" s="51" t="s">
        <v>1989</v>
      </c>
      <c r="F677" s="55" t="s">
        <v>1990</v>
      </c>
      <c r="G677" s="56"/>
      <c r="H677" s="57"/>
      <c r="I677" s="51"/>
      <c r="J677" s="51">
        <f>1.2*1000</f>
        <v>1200</v>
      </c>
      <c r="K677" s="58">
        <v>6.5277777777777782E-2</v>
      </c>
      <c r="L677" s="59" t="s">
        <v>1984</v>
      </c>
      <c r="M677" s="51"/>
      <c r="N677" s="51"/>
      <c r="O677" s="51"/>
      <c r="P677" s="51"/>
      <c r="Q677" s="37" t="str">
        <f t="shared" ca="1" si="0"/>
        <v/>
      </c>
      <c r="R677" s="52"/>
      <c r="S677" s="52"/>
      <c r="T677" s="52"/>
      <c r="U677" s="61"/>
      <c r="V677" s="62"/>
      <c r="W677" s="63"/>
      <c r="X677" s="64"/>
      <c r="Y677" s="18"/>
      <c r="Z677" s="18"/>
      <c r="AA677" s="18"/>
      <c r="AB677" s="18"/>
    </row>
    <row r="678" spans="1:28">
      <c r="A678" s="51">
        <v>677</v>
      </c>
      <c r="B678" s="52"/>
      <c r="C678" s="61"/>
      <c r="D678" s="51"/>
      <c r="E678" s="51" t="s">
        <v>1991</v>
      </c>
      <c r="F678" s="55" t="s">
        <v>1992</v>
      </c>
      <c r="G678" s="56"/>
      <c r="H678" s="57"/>
      <c r="I678" s="51"/>
      <c r="J678" s="51">
        <f>3.7*1000</f>
        <v>3700</v>
      </c>
      <c r="K678" s="58">
        <v>3.770833333333333E-2</v>
      </c>
      <c r="L678" s="59" t="s">
        <v>1984</v>
      </c>
      <c r="M678" s="51"/>
      <c r="N678" s="51"/>
      <c r="O678" s="51"/>
      <c r="P678" s="51"/>
      <c r="Q678" s="37" t="str">
        <f t="shared" ca="1" si="0"/>
        <v/>
      </c>
      <c r="R678" s="52"/>
      <c r="S678" s="52"/>
      <c r="T678" s="52"/>
      <c r="U678" s="61"/>
      <c r="V678" s="62"/>
      <c r="W678" s="63"/>
      <c r="X678" s="64"/>
      <c r="Y678" s="18"/>
      <c r="Z678" s="18"/>
      <c r="AA678" s="18"/>
      <c r="AB678" s="18"/>
    </row>
    <row r="679" spans="1:28">
      <c r="A679" s="51">
        <v>678</v>
      </c>
      <c r="B679" s="52"/>
      <c r="C679" s="61"/>
      <c r="D679" s="51"/>
      <c r="E679" s="51" t="s">
        <v>1993</v>
      </c>
      <c r="F679" s="55" t="s">
        <v>1994</v>
      </c>
      <c r="G679" s="56"/>
      <c r="H679" s="57"/>
      <c r="I679" s="51"/>
      <c r="J679" s="51">
        <f>6.7*1000</f>
        <v>6700</v>
      </c>
      <c r="K679" s="58">
        <v>2.7349537037037037E-2</v>
      </c>
      <c r="L679" s="59" t="s">
        <v>1984</v>
      </c>
      <c r="M679" s="51"/>
      <c r="N679" s="51"/>
      <c r="O679" s="51"/>
      <c r="P679" s="51"/>
      <c r="Q679" s="37" t="str">
        <f t="shared" ca="1" si="0"/>
        <v/>
      </c>
      <c r="R679" s="52"/>
      <c r="S679" s="52"/>
      <c r="T679" s="52"/>
      <c r="U679" s="61"/>
      <c r="V679" s="62"/>
      <c r="W679" s="63"/>
      <c r="X679" s="64"/>
      <c r="Y679" s="18"/>
      <c r="Z679" s="18"/>
      <c r="AA679" s="18"/>
      <c r="AB679" s="18"/>
    </row>
    <row r="680" spans="1:28">
      <c r="A680" s="51">
        <v>679</v>
      </c>
      <c r="B680" s="52"/>
      <c r="C680" s="61"/>
      <c r="D680" s="51"/>
      <c r="E680" s="51" t="s">
        <v>1995</v>
      </c>
      <c r="F680" s="55" t="s">
        <v>1996</v>
      </c>
      <c r="G680" s="56"/>
      <c r="H680" s="57"/>
      <c r="I680" s="51"/>
      <c r="J680" s="51">
        <f>3.7*1000</f>
        <v>3700</v>
      </c>
      <c r="K680" s="58">
        <v>2.8599537037037034E-2</v>
      </c>
      <c r="L680" s="59" t="s">
        <v>1984</v>
      </c>
      <c r="M680" s="51"/>
      <c r="N680" s="51"/>
      <c r="O680" s="51"/>
      <c r="P680" s="51"/>
      <c r="Q680" s="37" t="str">
        <f t="shared" ca="1" si="0"/>
        <v/>
      </c>
      <c r="R680" s="52"/>
      <c r="S680" s="52"/>
      <c r="T680" s="52"/>
      <c r="U680" s="61"/>
      <c r="V680" s="62"/>
      <c r="W680" s="63"/>
      <c r="X680" s="64"/>
      <c r="Y680" s="18"/>
      <c r="Z680" s="18"/>
      <c r="AA680" s="18"/>
      <c r="AB680" s="18"/>
    </row>
    <row r="681" spans="1:28">
      <c r="A681" s="51">
        <v>680</v>
      </c>
      <c r="B681" s="52"/>
      <c r="C681" s="61"/>
      <c r="D681" s="51"/>
      <c r="E681" s="51" t="s">
        <v>1997</v>
      </c>
      <c r="F681" s="55" t="s">
        <v>1998</v>
      </c>
      <c r="G681" s="56"/>
      <c r="H681" s="57"/>
      <c r="I681" s="51"/>
      <c r="J681" s="51">
        <f>6.5*1000</f>
        <v>6500</v>
      </c>
      <c r="K681" s="58">
        <v>2.2685185185185183E-2</v>
      </c>
      <c r="L681" s="59" t="s">
        <v>1984</v>
      </c>
      <c r="M681" s="51"/>
      <c r="N681" s="51"/>
      <c r="O681" s="51"/>
      <c r="P681" s="51"/>
      <c r="Q681" s="37" t="str">
        <f t="shared" ca="1" si="0"/>
        <v/>
      </c>
      <c r="R681" s="52"/>
      <c r="S681" s="52"/>
      <c r="T681" s="52"/>
      <c r="U681" s="61"/>
      <c r="V681" s="62"/>
      <c r="W681" s="63"/>
      <c r="X681" s="64"/>
      <c r="Y681" s="18"/>
      <c r="Z681" s="18"/>
      <c r="AA681" s="18"/>
      <c r="AB681" s="18"/>
    </row>
    <row r="682" spans="1:28">
      <c r="A682" s="51">
        <v>681</v>
      </c>
      <c r="B682" s="52"/>
      <c r="C682" s="61"/>
      <c r="D682" s="51"/>
      <c r="E682" s="51" t="s">
        <v>1999</v>
      </c>
      <c r="F682" s="55" t="s">
        <v>2000</v>
      </c>
      <c r="G682" s="56"/>
      <c r="H682" s="57"/>
      <c r="I682" s="51"/>
      <c r="J682" s="51">
        <f>2.9*1000</f>
        <v>2900</v>
      </c>
      <c r="K682" s="58">
        <v>2.8888888888888891E-2</v>
      </c>
      <c r="L682" s="59" t="s">
        <v>1984</v>
      </c>
      <c r="M682" s="51"/>
      <c r="N682" s="51"/>
      <c r="O682" s="51"/>
      <c r="P682" s="51"/>
      <c r="Q682" s="37" t="str">
        <f t="shared" ca="1" si="0"/>
        <v/>
      </c>
      <c r="R682" s="52"/>
      <c r="S682" s="52"/>
      <c r="T682" s="52"/>
      <c r="U682" s="61"/>
      <c r="V682" s="62"/>
      <c r="W682" s="63"/>
      <c r="X682" s="64"/>
      <c r="Y682" s="18"/>
      <c r="Z682" s="18"/>
      <c r="AA682" s="18"/>
      <c r="AB682" s="18"/>
    </row>
    <row r="683" spans="1:28">
      <c r="A683" s="51">
        <v>682</v>
      </c>
      <c r="B683" s="52"/>
      <c r="C683" s="61"/>
      <c r="D683" s="51"/>
      <c r="E683" s="51" t="s">
        <v>2001</v>
      </c>
      <c r="F683" s="55" t="s">
        <v>2002</v>
      </c>
      <c r="G683" s="56"/>
      <c r="H683" s="57"/>
      <c r="I683" s="51"/>
      <c r="J683" s="51">
        <f>2.1*1000</f>
        <v>2100</v>
      </c>
      <c r="K683" s="58">
        <v>2.6261574074074076E-2</v>
      </c>
      <c r="L683" s="59" t="s">
        <v>1984</v>
      </c>
      <c r="M683" s="51"/>
      <c r="N683" s="51"/>
      <c r="O683" s="51"/>
      <c r="P683" s="51"/>
      <c r="Q683" s="37" t="str">
        <f t="shared" ca="1" si="0"/>
        <v/>
      </c>
      <c r="R683" s="52"/>
      <c r="S683" s="52"/>
      <c r="T683" s="52"/>
      <c r="U683" s="61"/>
      <c r="V683" s="62"/>
      <c r="W683" s="63"/>
      <c r="X683" s="64"/>
      <c r="Y683" s="18"/>
      <c r="Z683" s="18"/>
      <c r="AA683" s="18"/>
      <c r="AB683" s="18"/>
    </row>
    <row r="684" spans="1:28">
      <c r="A684" s="51">
        <v>683</v>
      </c>
      <c r="B684" s="52"/>
      <c r="C684" s="61"/>
      <c r="D684" s="51"/>
      <c r="E684" s="51" t="s">
        <v>2003</v>
      </c>
      <c r="F684" s="55" t="s">
        <v>2004</v>
      </c>
      <c r="G684" s="56"/>
      <c r="H684" s="57"/>
      <c r="I684" s="51"/>
      <c r="J684" s="51">
        <f>3*1000</f>
        <v>3000</v>
      </c>
      <c r="K684" s="58">
        <v>1.5324074074074073E-2</v>
      </c>
      <c r="L684" s="59" t="s">
        <v>1984</v>
      </c>
      <c r="M684" s="51"/>
      <c r="N684" s="51"/>
      <c r="O684" s="51"/>
      <c r="P684" s="51"/>
      <c r="Q684" s="37" t="str">
        <f t="shared" ca="1" si="0"/>
        <v/>
      </c>
      <c r="R684" s="52"/>
      <c r="S684" s="52"/>
      <c r="T684" s="52"/>
      <c r="U684" s="61"/>
      <c r="V684" s="62"/>
      <c r="W684" s="63"/>
      <c r="X684" s="64"/>
      <c r="Y684" s="18"/>
      <c r="Z684" s="18"/>
      <c r="AA684" s="18"/>
      <c r="AB684" s="18"/>
    </row>
    <row r="685" spans="1:28">
      <c r="A685" s="51">
        <v>684</v>
      </c>
      <c r="B685" s="52"/>
      <c r="C685" s="61"/>
      <c r="D685" s="51"/>
      <c r="E685" s="51" t="s">
        <v>2005</v>
      </c>
      <c r="F685" s="55" t="s">
        <v>2006</v>
      </c>
      <c r="G685" s="56"/>
      <c r="H685" s="57"/>
      <c r="I685" s="51"/>
      <c r="J685" s="51">
        <f>5.4*1000</f>
        <v>5400</v>
      </c>
      <c r="K685" s="58">
        <v>1.9583333333333331E-2</v>
      </c>
      <c r="L685" s="59" t="s">
        <v>1984</v>
      </c>
      <c r="M685" s="51"/>
      <c r="N685" s="51"/>
      <c r="O685" s="51"/>
      <c r="P685" s="51"/>
      <c r="Q685" s="37" t="str">
        <f t="shared" ca="1" si="0"/>
        <v/>
      </c>
      <c r="R685" s="52"/>
      <c r="S685" s="52"/>
      <c r="T685" s="52"/>
      <c r="U685" s="61"/>
      <c r="V685" s="62"/>
      <c r="W685" s="63"/>
      <c r="X685" s="64"/>
      <c r="Y685" s="18"/>
      <c r="Z685" s="18"/>
      <c r="AA685" s="18"/>
      <c r="AB685" s="18"/>
    </row>
    <row r="686" spans="1:28">
      <c r="A686" s="51">
        <v>685</v>
      </c>
      <c r="B686" s="52"/>
      <c r="C686" s="61"/>
      <c r="D686" s="51"/>
      <c r="E686" s="51" t="s">
        <v>2007</v>
      </c>
      <c r="F686" s="55" t="s">
        <v>2008</v>
      </c>
      <c r="G686" s="56"/>
      <c r="H686" s="57"/>
      <c r="I686" s="51"/>
      <c r="J686" s="51">
        <f>3.3*1000</f>
        <v>3300</v>
      </c>
      <c r="K686" s="58">
        <v>1.6331018518518519E-2</v>
      </c>
      <c r="L686" s="59" t="s">
        <v>1984</v>
      </c>
      <c r="M686" s="51"/>
      <c r="N686" s="51"/>
      <c r="O686" s="51"/>
      <c r="P686" s="51"/>
      <c r="Q686" s="37" t="str">
        <f t="shared" ca="1" si="0"/>
        <v/>
      </c>
      <c r="R686" s="52"/>
      <c r="S686" s="52"/>
      <c r="T686" s="52"/>
      <c r="U686" s="61"/>
      <c r="V686" s="62"/>
      <c r="W686" s="63"/>
      <c r="X686" s="64"/>
      <c r="Y686" s="18"/>
      <c r="Z686" s="18"/>
      <c r="AA686" s="18"/>
      <c r="AB686" s="18"/>
    </row>
    <row r="687" spans="1:28">
      <c r="A687" s="51">
        <v>686</v>
      </c>
      <c r="B687" s="52"/>
      <c r="C687" s="61"/>
      <c r="D687" s="51"/>
      <c r="E687" s="51" t="s">
        <v>2009</v>
      </c>
      <c r="F687" s="55" t="s">
        <v>2010</v>
      </c>
      <c r="G687" s="56"/>
      <c r="H687" s="57"/>
      <c r="I687" s="51"/>
      <c r="J687" s="51">
        <f>2.6*1000</f>
        <v>2600</v>
      </c>
      <c r="K687" s="58">
        <v>2.1944444444444447E-2</v>
      </c>
      <c r="L687" s="59" t="s">
        <v>1984</v>
      </c>
      <c r="M687" s="51"/>
      <c r="N687" s="51"/>
      <c r="O687" s="51"/>
      <c r="P687" s="51"/>
      <c r="Q687" s="37" t="str">
        <f t="shared" ca="1" si="0"/>
        <v/>
      </c>
      <c r="R687" s="52"/>
      <c r="S687" s="52"/>
      <c r="T687" s="52"/>
      <c r="U687" s="61"/>
      <c r="V687" s="62"/>
      <c r="W687" s="63"/>
      <c r="X687" s="64"/>
      <c r="Y687" s="18"/>
      <c r="Z687" s="18"/>
      <c r="AA687" s="18"/>
      <c r="AB687" s="18"/>
    </row>
    <row r="688" spans="1:28">
      <c r="A688" s="51">
        <v>687</v>
      </c>
      <c r="B688" s="52"/>
      <c r="C688" s="61"/>
      <c r="D688" s="51"/>
      <c r="E688" s="51" t="s">
        <v>2011</v>
      </c>
      <c r="F688" s="55" t="s">
        <v>2012</v>
      </c>
      <c r="G688" s="56"/>
      <c r="H688" s="57"/>
      <c r="I688" s="51"/>
      <c r="J688" s="51">
        <f>5.8*1000</f>
        <v>5800</v>
      </c>
      <c r="K688" s="58">
        <v>6.122685185185185E-3</v>
      </c>
      <c r="L688" s="59" t="s">
        <v>1984</v>
      </c>
      <c r="M688" s="51"/>
      <c r="N688" s="51"/>
      <c r="O688" s="51"/>
      <c r="P688" s="51"/>
      <c r="Q688" s="37" t="str">
        <f t="shared" ca="1" si="0"/>
        <v/>
      </c>
      <c r="R688" s="52"/>
      <c r="S688" s="52"/>
      <c r="T688" s="52"/>
      <c r="U688" s="61"/>
      <c r="V688" s="62"/>
      <c r="W688" s="63"/>
      <c r="X688" s="64"/>
      <c r="Y688" s="18"/>
      <c r="Z688" s="18"/>
      <c r="AA688" s="18"/>
      <c r="AB688" s="18"/>
    </row>
    <row r="689" spans="1:28">
      <c r="A689" s="51">
        <v>688</v>
      </c>
      <c r="B689" s="52"/>
      <c r="C689" s="61"/>
      <c r="D689" s="51"/>
      <c r="E689" s="51" t="s">
        <v>2013</v>
      </c>
      <c r="F689" s="55" t="s">
        <v>2014</v>
      </c>
      <c r="G689" s="56"/>
      <c r="H689" s="57"/>
      <c r="I689" s="51"/>
      <c r="J689" s="51">
        <f>12*1000</f>
        <v>12000</v>
      </c>
      <c r="K689" s="58">
        <v>7.905092592592592E-3</v>
      </c>
      <c r="L689" s="59" t="s">
        <v>1984</v>
      </c>
      <c r="M689" s="51"/>
      <c r="N689" s="51"/>
      <c r="O689" s="51"/>
      <c r="P689" s="51"/>
      <c r="Q689" s="37" t="str">
        <f t="shared" ca="1" si="0"/>
        <v/>
      </c>
      <c r="R689" s="52"/>
      <c r="S689" s="52"/>
      <c r="T689" s="52"/>
      <c r="U689" s="61"/>
      <c r="V689" s="62"/>
      <c r="W689" s="63"/>
      <c r="X689" s="64"/>
      <c r="Y689" s="18"/>
      <c r="Z689" s="18"/>
      <c r="AA689" s="18"/>
      <c r="AB689" s="18"/>
    </row>
    <row r="690" spans="1:28">
      <c r="A690" s="51">
        <v>689</v>
      </c>
      <c r="B690" s="52"/>
      <c r="C690" s="61"/>
      <c r="D690" s="51"/>
      <c r="E690" s="51" t="s">
        <v>2015</v>
      </c>
      <c r="F690" s="55" t="s">
        <v>2016</v>
      </c>
      <c r="G690" s="56"/>
      <c r="H690" s="57"/>
      <c r="I690" s="51"/>
      <c r="J690" s="51">
        <f>4.8*1000</f>
        <v>4800</v>
      </c>
      <c r="K690" s="58">
        <v>3.1134259259259257E-3</v>
      </c>
      <c r="L690" s="59" t="s">
        <v>1984</v>
      </c>
      <c r="M690" s="51"/>
      <c r="N690" s="51"/>
      <c r="O690" s="51"/>
      <c r="P690" s="51"/>
      <c r="Q690" s="37" t="str">
        <f t="shared" ca="1" si="0"/>
        <v/>
      </c>
      <c r="R690" s="52"/>
      <c r="S690" s="52"/>
      <c r="T690" s="52"/>
      <c r="U690" s="61"/>
      <c r="V690" s="62"/>
      <c r="W690" s="63"/>
      <c r="X690" s="64"/>
      <c r="Y690" s="18"/>
      <c r="Z690" s="18"/>
      <c r="AA690" s="18"/>
      <c r="AB690" s="18"/>
    </row>
    <row r="691" spans="1:28">
      <c r="A691" s="51">
        <v>690</v>
      </c>
      <c r="B691" s="52"/>
      <c r="C691" s="61"/>
      <c r="D691" s="51"/>
      <c r="E691" s="51" t="s">
        <v>2017</v>
      </c>
      <c r="F691" s="55" t="s">
        <v>2018</v>
      </c>
      <c r="G691" s="56"/>
      <c r="H691" s="57"/>
      <c r="I691" s="51"/>
      <c r="J691" s="51">
        <f>9.1*1000</f>
        <v>9100</v>
      </c>
      <c r="K691" s="58">
        <v>3.2106481481481479E-2</v>
      </c>
      <c r="L691" s="59" t="s">
        <v>1984</v>
      </c>
      <c r="M691" s="51"/>
      <c r="N691" s="51"/>
      <c r="O691" s="51"/>
      <c r="P691" s="51"/>
      <c r="Q691" s="37" t="str">
        <f t="shared" ca="1" si="0"/>
        <v/>
      </c>
      <c r="R691" s="52"/>
      <c r="S691" s="52"/>
      <c r="T691" s="52"/>
      <c r="U691" s="61"/>
      <c r="V691" s="62"/>
      <c r="W691" s="63"/>
      <c r="X691" s="64"/>
      <c r="Y691" s="18"/>
      <c r="Z691" s="18"/>
      <c r="AA691" s="18"/>
      <c r="AB691" s="18"/>
    </row>
    <row r="692" spans="1:28">
      <c r="A692" s="51">
        <v>691</v>
      </c>
      <c r="B692" s="52"/>
      <c r="C692" s="61"/>
      <c r="D692" s="51"/>
      <c r="E692" s="51" t="s">
        <v>2019</v>
      </c>
      <c r="F692" s="55" t="s">
        <v>2020</v>
      </c>
      <c r="G692" s="56"/>
      <c r="H692" s="57"/>
      <c r="I692" s="51"/>
      <c r="J692" s="51">
        <f>24*1000</f>
        <v>24000</v>
      </c>
      <c r="K692" s="58">
        <v>4.4583333333333336E-2</v>
      </c>
      <c r="L692" s="59" t="s">
        <v>1984</v>
      </c>
      <c r="M692" s="51"/>
      <c r="N692" s="51"/>
      <c r="O692" s="51"/>
      <c r="P692" s="51"/>
      <c r="Q692" s="37" t="str">
        <f t="shared" ca="1" si="0"/>
        <v/>
      </c>
      <c r="R692" s="52"/>
      <c r="S692" s="52"/>
      <c r="T692" s="52"/>
      <c r="U692" s="61"/>
      <c r="V692" s="62"/>
      <c r="W692" s="63"/>
      <c r="X692" s="64"/>
      <c r="Y692" s="18"/>
      <c r="Z692" s="18"/>
      <c r="AA692" s="18"/>
      <c r="AB692" s="18"/>
    </row>
    <row r="693" spans="1:28">
      <c r="A693" s="51">
        <v>692</v>
      </c>
      <c r="B693" s="52"/>
      <c r="C693" s="61"/>
      <c r="D693" s="51"/>
      <c r="E693" s="51" t="s">
        <v>2021</v>
      </c>
      <c r="F693" s="55" t="s">
        <v>2022</v>
      </c>
      <c r="G693" s="56"/>
      <c r="H693" s="57"/>
      <c r="I693" s="51"/>
      <c r="J693" s="51">
        <f>4.9*1000</f>
        <v>4900</v>
      </c>
      <c r="K693" s="58">
        <v>2.8055555555555556E-2</v>
      </c>
      <c r="L693" s="59" t="s">
        <v>1984</v>
      </c>
      <c r="M693" s="51"/>
      <c r="N693" s="51"/>
      <c r="O693" s="51"/>
      <c r="P693" s="51"/>
      <c r="Q693" s="37" t="str">
        <f t="shared" ca="1" si="0"/>
        <v/>
      </c>
      <c r="R693" s="52"/>
      <c r="S693" s="52"/>
      <c r="T693" s="52"/>
      <c r="U693" s="61"/>
      <c r="V693" s="62"/>
      <c r="W693" s="63"/>
      <c r="X693" s="64"/>
      <c r="Y693" s="18"/>
      <c r="Z693" s="18"/>
      <c r="AA693" s="18"/>
      <c r="AB693" s="18"/>
    </row>
    <row r="694" spans="1:28">
      <c r="A694" s="51">
        <v>693</v>
      </c>
      <c r="B694" s="52"/>
      <c r="C694" s="61"/>
      <c r="D694" s="51"/>
      <c r="E694" s="51" t="s">
        <v>2023</v>
      </c>
      <c r="F694" s="55" t="s">
        <v>2024</v>
      </c>
      <c r="G694" s="56"/>
      <c r="H694" s="57"/>
      <c r="I694" s="51"/>
      <c r="J694" s="51">
        <f>5.3*1000</f>
        <v>5300</v>
      </c>
      <c r="K694" s="58">
        <v>1.4733796296296295E-2</v>
      </c>
      <c r="L694" s="59" t="s">
        <v>1984</v>
      </c>
      <c r="M694" s="51"/>
      <c r="N694" s="51"/>
      <c r="O694" s="51"/>
      <c r="P694" s="51"/>
      <c r="Q694" s="37" t="str">
        <f t="shared" ca="1" si="0"/>
        <v/>
      </c>
      <c r="R694" s="52"/>
      <c r="S694" s="52"/>
      <c r="T694" s="52"/>
      <c r="U694" s="61"/>
      <c r="V694" s="62"/>
      <c r="W694" s="63"/>
      <c r="X694" s="64"/>
      <c r="Y694" s="18"/>
      <c r="Z694" s="18"/>
      <c r="AA694" s="18"/>
      <c r="AB694" s="18"/>
    </row>
    <row r="695" spans="1:28">
      <c r="A695" s="51">
        <v>694</v>
      </c>
      <c r="B695" s="52"/>
      <c r="C695" s="61"/>
      <c r="D695" s="51"/>
      <c r="E695" s="51" t="s">
        <v>2025</v>
      </c>
      <c r="F695" s="55" t="s">
        <v>2026</v>
      </c>
      <c r="G695" s="56"/>
      <c r="H695" s="57"/>
      <c r="I695" s="51"/>
      <c r="J695" s="51">
        <f>18*1000</f>
        <v>18000</v>
      </c>
      <c r="K695" s="58">
        <v>3.3402777777777774E-2</v>
      </c>
      <c r="L695" s="59" t="s">
        <v>2027</v>
      </c>
      <c r="M695" s="51"/>
      <c r="N695" s="51"/>
      <c r="O695" s="51"/>
      <c r="P695" s="51"/>
      <c r="Q695" s="37" t="str">
        <f t="shared" ca="1" si="0"/>
        <v/>
      </c>
      <c r="R695" s="52"/>
      <c r="S695" s="52"/>
      <c r="T695" s="52"/>
      <c r="U695" s="61"/>
      <c r="V695" s="62"/>
      <c r="W695" s="63"/>
      <c r="X695" s="64"/>
      <c r="Y695" s="18"/>
      <c r="Z695" s="18"/>
      <c r="AA695" s="18"/>
      <c r="AB695" s="18"/>
    </row>
    <row r="696" spans="1:28">
      <c r="A696" s="51">
        <v>695</v>
      </c>
      <c r="B696" s="52"/>
      <c r="C696" s="61"/>
      <c r="D696" s="51"/>
      <c r="E696" s="51" t="s">
        <v>2028</v>
      </c>
      <c r="F696" s="55" t="s">
        <v>2029</v>
      </c>
      <c r="G696" s="56"/>
      <c r="H696" s="57"/>
      <c r="I696" s="51"/>
      <c r="J696" s="51">
        <f>9.1*1000</f>
        <v>9100</v>
      </c>
      <c r="K696" s="58">
        <v>4.2349537037037033E-2</v>
      </c>
      <c r="L696" s="59" t="s">
        <v>2027</v>
      </c>
      <c r="M696" s="51"/>
      <c r="N696" s="51"/>
      <c r="O696" s="51"/>
      <c r="P696" s="51"/>
      <c r="Q696" s="37" t="str">
        <f t="shared" ca="1" si="0"/>
        <v/>
      </c>
      <c r="R696" s="52"/>
      <c r="S696" s="52"/>
      <c r="T696" s="52"/>
      <c r="U696" s="61"/>
      <c r="V696" s="62"/>
      <c r="W696" s="63"/>
      <c r="X696" s="64"/>
      <c r="Y696" s="18"/>
      <c r="Z696" s="18"/>
      <c r="AA696" s="18"/>
      <c r="AB696" s="18"/>
    </row>
    <row r="697" spans="1:28">
      <c r="A697" s="51">
        <v>696</v>
      </c>
      <c r="B697" s="69" t="s">
        <v>98</v>
      </c>
      <c r="C697" s="61"/>
      <c r="D697" s="51"/>
      <c r="E697" s="51" t="s">
        <v>2030</v>
      </c>
      <c r="F697" s="55" t="s">
        <v>2031</v>
      </c>
      <c r="G697" s="56"/>
      <c r="H697" s="57"/>
      <c r="I697" s="51"/>
      <c r="J697" s="51">
        <f>10*1000</f>
        <v>10000</v>
      </c>
      <c r="K697" s="58">
        <v>2.1979166666666664E-2</v>
      </c>
      <c r="L697" s="59" t="s">
        <v>2027</v>
      </c>
      <c r="M697" s="51"/>
      <c r="N697" s="51"/>
      <c r="O697" s="51"/>
      <c r="P697" s="51"/>
      <c r="Q697" s="37" t="str">
        <f t="shared" ca="1" si="0"/>
        <v/>
      </c>
      <c r="R697" s="52"/>
      <c r="S697" s="52"/>
      <c r="T697" s="52"/>
      <c r="U697" s="61"/>
      <c r="V697" s="62"/>
      <c r="W697" s="63"/>
      <c r="X697" s="64"/>
      <c r="Y697" s="18"/>
      <c r="Z697" s="18"/>
      <c r="AA697" s="18"/>
      <c r="AB697" s="18"/>
    </row>
    <row r="698" spans="1:28">
      <c r="A698" s="51">
        <v>697</v>
      </c>
      <c r="B698" s="52"/>
      <c r="C698" s="61"/>
      <c r="D698" s="51"/>
      <c r="E698" s="51" t="s">
        <v>2032</v>
      </c>
      <c r="F698" s="55" t="s">
        <v>2033</v>
      </c>
      <c r="G698" s="56"/>
      <c r="H698" s="57"/>
      <c r="I698" s="51"/>
      <c r="J698" s="51">
        <f>3.7*1000</f>
        <v>3700</v>
      </c>
      <c r="K698" s="58">
        <v>1.7824074074074072E-3</v>
      </c>
      <c r="L698" s="59" t="s">
        <v>2027</v>
      </c>
      <c r="M698" s="51"/>
      <c r="N698" s="51"/>
      <c r="O698" s="51"/>
      <c r="P698" s="51"/>
      <c r="Q698" s="37" t="str">
        <f t="shared" ca="1" si="0"/>
        <v/>
      </c>
      <c r="R698" s="52"/>
      <c r="S698" s="52"/>
      <c r="T698" s="52"/>
      <c r="U698" s="61"/>
      <c r="V698" s="62"/>
      <c r="W698" s="63"/>
      <c r="X698" s="64"/>
      <c r="Y698" s="18"/>
      <c r="Z698" s="18"/>
      <c r="AA698" s="18"/>
      <c r="AB698" s="18"/>
    </row>
    <row r="699" spans="1:28">
      <c r="A699" s="51">
        <v>698</v>
      </c>
      <c r="B699" s="52"/>
      <c r="C699" s="61"/>
      <c r="D699" s="51"/>
      <c r="E699" s="51" t="s">
        <v>2034</v>
      </c>
      <c r="F699" s="55" t="s">
        <v>2035</v>
      </c>
      <c r="G699" s="56"/>
      <c r="H699" s="57"/>
      <c r="I699" s="51"/>
      <c r="J699" s="51">
        <f t="shared" ref="J699:J700" si="12">16*1000</f>
        <v>16000</v>
      </c>
      <c r="K699" s="58">
        <v>3.8483796296296294E-2</v>
      </c>
      <c r="L699" s="59" t="s">
        <v>2027</v>
      </c>
      <c r="M699" s="51"/>
      <c r="N699" s="51"/>
      <c r="O699" s="51"/>
      <c r="P699" s="51"/>
      <c r="Q699" s="37" t="str">
        <f t="shared" ca="1" si="0"/>
        <v/>
      </c>
      <c r="R699" s="52"/>
      <c r="S699" s="52"/>
      <c r="T699" s="52"/>
      <c r="U699" s="61"/>
      <c r="V699" s="62"/>
      <c r="W699" s="63"/>
      <c r="X699" s="64"/>
      <c r="Y699" s="18"/>
      <c r="Z699" s="18"/>
      <c r="AA699" s="18"/>
      <c r="AB699" s="18"/>
    </row>
    <row r="700" spans="1:28">
      <c r="A700" s="51">
        <v>699</v>
      </c>
      <c r="B700" s="52"/>
      <c r="C700" s="61"/>
      <c r="D700" s="51"/>
      <c r="E700" s="51" t="s">
        <v>2036</v>
      </c>
      <c r="F700" s="55" t="s">
        <v>2037</v>
      </c>
      <c r="G700" s="56"/>
      <c r="H700" s="57"/>
      <c r="I700" s="51"/>
      <c r="J700" s="51">
        <f t="shared" si="12"/>
        <v>16000</v>
      </c>
      <c r="K700" s="58">
        <v>3.5312500000000004E-2</v>
      </c>
      <c r="L700" s="59" t="s">
        <v>2027</v>
      </c>
      <c r="M700" s="51"/>
      <c r="N700" s="51"/>
      <c r="O700" s="51"/>
      <c r="P700" s="51"/>
      <c r="Q700" s="37" t="str">
        <f t="shared" ca="1" si="0"/>
        <v/>
      </c>
      <c r="R700" s="52"/>
      <c r="S700" s="52"/>
      <c r="T700" s="52"/>
      <c r="U700" s="61"/>
      <c r="V700" s="62"/>
      <c r="W700" s="63"/>
      <c r="X700" s="64"/>
      <c r="Y700" s="18"/>
      <c r="Z700" s="18"/>
      <c r="AA700" s="18"/>
      <c r="AB700" s="18"/>
    </row>
    <row r="701" spans="1:28">
      <c r="A701" s="51">
        <v>700</v>
      </c>
      <c r="B701" s="69" t="s">
        <v>127</v>
      </c>
      <c r="C701" s="61"/>
      <c r="D701" s="51"/>
      <c r="E701" s="51" t="s">
        <v>2038</v>
      </c>
      <c r="F701" s="55" t="s">
        <v>2039</v>
      </c>
      <c r="G701" s="56"/>
      <c r="H701" s="57"/>
      <c r="I701" s="51"/>
      <c r="J701" s="51">
        <f>12*1000</f>
        <v>12000</v>
      </c>
      <c r="K701" s="58">
        <v>2.7951388888888887E-2</v>
      </c>
      <c r="L701" s="59" t="s">
        <v>2027</v>
      </c>
      <c r="M701" s="51"/>
      <c r="N701" s="51"/>
      <c r="O701" s="51"/>
      <c r="P701" s="51"/>
      <c r="Q701" s="37" t="str">
        <f t="shared" ca="1" si="0"/>
        <v/>
      </c>
      <c r="R701" s="52"/>
      <c r="S701" s="52"/>
      <c r="T701" s="52"/>
      <c r="U701" s="61"/>
      <c r="V701" s="62"/>
      <c r="W701" s="63"/>
      <c r="X701" s="64"/>
      <c r="Y701" s="18"/>
      <c r="Z701" s="18"/>
      <c r="AA701" s="18"/>
      <c r="AB701" s="18"/>
    </row>
    <row r="702" spans="1:28">
      <c r="A702" s="51">
        <v>701</v>
      </c>
      <c r="B702" s="52"/>
      <c r="C702" s="61"/>
      <c r="D702" s="51"/>
      <c r="E702" s="51" t="s">
        <v>2040</v>
      </c>
      <c r="F702" s="55" t="s">
        <v>2041</v>
      </c>
      <c r="G702" s="56"/>
      <c r="H702" s="57"/>
      <c r="I702" s="51"/>
      <c r="J702" s="51">
        <f>895</f>
        <v>895</v>
      </c>
      <c r="K702" s="58">
        <v>1.5902777777777776E-2</v>
      </c>
      <c r="L702" s="59" t="s">
        <v>2042</v>
      </c>
      <c r="M702" s="51"/>
      <c r="N702" s="51"/>
      <c r="O702" s="51"/>
      <c r="P702" s="51"/>
      <c r="Q702" s="37" t="str">
        <f t="shared" ca="1" si="0"/>
        <v/>
      </c>
      <c r="R702" s="52"/>
      <c r="S702" s="52"/>
      <c r="T702" s="52"/>
      <c r="U702" s="61"/>
      <c r="V702" s="62"/>
      <c r="W702" s="63"/>
      <c r="X702" s="64"/>
      <c r="Y702" s="18"/>
      <c r="Z702" s="18"/>
      <c r="AA702" s="18"/>
      <c r="AB702" s="18"/>
    </row>
    <row r="703" spans="1:28">
      <c r="A703" s="51">
        <v>702</v>
      </c>
      <c r="B703" s="52"/>
      <c r="C703" s="61"/>
      <c r="D703" s="51"/>
      <c r="E703" s="51" t="s">
        <v>2043</v>
      </c>
      <c r="F703" s="55" t="s">
        <v>2044</v>
      </c>
      <c r="G703" s="56"/>
      <c r="H703" s="57"/>
      <c r="I703" s="51"/>
      <c r="J703" s="51">
        <f>214</f>
        <v>214</v>
      </c>
      <c r="K703" s="58">
        <v>3.0034722222222223E-2</v>
      </c>
      <c r="L703" s="59" t="s">
        <v>2042</v>
      </c>
      <c r="M703" s="51"/>
      <c r="N703" s="51"/>
      <c r="O703" s="51"/>
      <c r="P703" s="51"/>
      <c r="Q703" s="37" t="str">
        <f t="shared" ca="1" si="0"/>
        <v/>
      </c>
      <c r="R703" s="52"/>
      <c r="S703" s="52"/>
      <c r="T703" s="52"/>
      <c r="U703" s="61"/>
      <c r="V703" s="62"/>
      <c r="W703" s="63"/>
      <c r="X703" s="64"/>
      <c r="Y703" s="18"/>
      <c r="Z703" s="18"/>
      <c r="AA703" s="18"/>
      <c r="AB703" s="18"/>
    </row>
    <row r="704" spans="1:28">
      <c r="A704" s="51">
        <v>703</v>
      </c>
      <c r="B704" s="52"/>
      <c r="C704" s="61"/>
      <c r="D704" s="51"/>
      <c r="E704" s="51" t="s">
        <v>2045</v>
      </c>
      <c r="F704" s="55" t="s">
        <v>2046</v>
      </c>
      <c r="G704" s="56"/>
      <c r="H704" s="57"/>
      <c r="I704" s="51"/>
      <c r="J704" s="51">
        <f>1.4*1000</f>
        <v>1400</v>
      </c>
      <c r="K704" s="58">
        <v>2.5208333333333333E-2</v>
      </c>
      <c r="L704" s="59" t="s">
        <v>2042</v>
      </c>
      <c r="M704" s="51"/>
      <c r="N704" s="51"/>
      <c r="O704" s="51"/>
      <c r="P704" s="51"/>
      <c r="Q704" s="37" t="str">
        <f t="shared" ca="1" si="0"/>
        <v/>
      </c>
      <c r="R704" s="52"/>
      <c r="S704" s="52"/>
      <c r="T704" s="52"/>
      <c r="U704" s="61"/>
      <c r="V704" s="62"/>
      <c r="W704" s="63"/>
      <c r="X704" s="64"/>
      <c r="Y704" s="18"/>
      <c r="Z704" s="18"/>
      <c r="AA704" s="18"/>
      <c r="AB704" s="18"/>
    </row>
    <row r="705" spans="1:28">
      <c r="A705" s="51">
        <v>704</v>
      </c>
      <c r="B705" s="52"/>
      <c r="C705" s="61"/>
      <c r="D705" s="51"/>
      <c r="E705" s="51" t="s">
        <v>2047</v>
      </c>
      <c r="F705" s="55" t="s">
        <v>2048</v>
      </c>
      <c r="G705" s="56"/>
      <c r="H705" s="57"/>
      <c r="I705" s="51"/>
      <c r="J705" s="51">
        <f>159</f>
        <v>159</v>
      </c>
      <c r="K705" s="58">
        <v>1.3703703703703704E-2</v>
      </c>
      <c r="L705" s="59" t="s">
        <v>2042</v>
      </c>
      <c r="M705" s="51"/>
      <c r="N705" s="51"/>
      <c r="O705" s="51"/>
      <c r="P705" s="51"/>
      <c r="Q705" s="37" t="str">
        <f t="shared" ca="1" si="0"/>
        <v/>
      </c>
      <c r="R705" s="52"/>
      <c r="S705" s="52"/>
      <c r="T705" s="52"/>
      <c r="U705" s="61"/>
      <c r="V705" s="62"/>
      <c r="W705" s="63"/>
      <c r="X705" s="64"/>
      <c r="Y705" s="18"/>
      <c r="Z705" s="18"/>
      <c r="AA705" s="18"/>
      <c r="AB705" s="18"/>
    </row>
    <row r="706" spans="1:28">
      <c r="A706" s="51">
        <v>705</v>
      </c>
      <c r="B706" s="52"/>
      <c r="C706" s="61"/>
      <c r="D706" s="51"/>
      <c r="E706" s="51" t="s">
        <v>2049</v>
      </c>
      <c r="F706" s="55" t="s">
        <v>2050</v>
      </c>
      <c r="G706" s="56"/>
      <c r="H706" s="57"/>
      <c r="I706" s="51"/>
      <c r="J706" s="51">
        <f>1.7*1000</f>
        <v>1700</v>
      </c>
      <c r="K706" s="58">
        <v>2.1979166666666664E-2</v>
      </c>
      <c r="L706" s="59" t="s">
        <v>2042</v>
      </c>
      <c r="M706" s="51"/>
      <c r="N706" s="51"/>
      <c r="O706" s="51"/>
      <c r="P706" s="51"/>
      <c r="Q706" s="37" t="str">
        <f t="shared" ca="1" si="0"/>
        <v/>
      </c>
      <c r="R706" s="52"/>
      <c r="S706" s="52"/>
      <c r="T706" s="52"/>
      <c r="U706" s="61"/>
      <c r="V706" s="62"/>
      <c r="W706" s="63"/>
      <c r="X706" s="64"/>
      <c r="Y706" s="18"/>
      <c r="Z706" s="18"/>
      <c r="AA706" s="18"/>
      <c r="AB706" s="18"/>
    </row>
    <row r="707" spans="1:28">
      <c r="A707" s="51">
        <v>706</v>
      </c>
      <c r="B707" s="52"/>
      <c r="C707" s="61"/>
      <c r="D707" s="51"/>
      <c r="E707" s="51" t="s">
        <v>2051</v>
      </c>
      <c r="F707" s="55" t="s">
        <v>2052</v>
      </c>
      <c r="G707" s="56"/>
      <c r="H707" s="57"/>
      <c r="I707" s="51"/>
      <c r="J707" s="51">
        <f>395</f>
        <v>395</v>
      </c>
      <c r="K707" s="58">
        <v>1.0601851851851854E-2</v>
      </c>
      <c r="L707" s="59" t="s">
        <v>2042</v>
      </c>
      <c r="M707" s="51"/>
      <c r="N707" s="51"/>
      <c r="O707" s="51"/>
      <c r="P707" s="51"/>
      <c r="Q707" s="37" t="str">
        <f t="shared" ca="1" si="0"/>
        <v/>
      </c>
      <c r="R707" s="52"/>
      <c r="S707" s="52"/>
      <c r="T707" s="52"/>
      <c r="U707" s="61"/>
      <c r="V707" s="62"/>
      <c r="W707" s="63"/>
      <c r="X707" s="64"/>
      <c r="Y707" s="18"/>
      <c r="Z707" s="18"/>
      <c r="AA707" s="18"/>
      <c r="AB707" s="18"/>
    </row>
    <row r="708" spans="1:28">
      <c r="A708" s="51">
        <v>707</v>
      </c>
      <c r="B708" s="52"/>
      <c r="C708" s="61"/>
      <c r="D708" s="51"/>
      <c r="E708" s="51" t="s">
        <v>2053</v>
      </c>
      <c r="F708" s="55" t="s">
        <v>2054</v>
      </c>
      <c r="G708" s="56"/>
      <c r="H708" s="57"/>
      <c r="I708" s="51"/>
      <c r="J708" s="51">
        <f>4.2*1000</f>
        <v>4200</v>
      </c>
      <c r="K708" s="58">
        <v>2.4050925925925924E-2</v>
      </c>
      <c r="L708" s="59" t="s">
        <v>2042</v>
      </c>
      <c r="M708" s="51"/>
      <c r="N708" s="51"/>
      <c r="O708" s="51"/>
      <c r="P708" s="51"/>
      <c r="Q708" s="37" t="str">
        <f t="shared" ca="1" si="0"/>
        <v/>
      </c>
      <c r="R708" s="52"/>
      <c r="S708" s="52"/>
      <c r="T708" s="52"/>
      <c r="U708" s="61"/>
      <c r="V708" s="62"/>
      <c r="W708" s="63"/>
      <c r="X708" s="64"/>
      <c r="Y708" s="18"/>
      <c r="Z708" s="18"/>
      <c r="AA708" s="18"/>
      <c r="AB708" s="18"/>
    </row>
    <row r="709" spans="1:28">
      <c r="A709" s="51">
        <v>708</v>
      </c>
      <c r="B709" s="52"/>
      <c r="C709" s="61"/>
      <c r="D709" s="51"/>
      <c r="E709" s="51" t="s">
        <v>2055</v>
      </c>
      <c r="F709" s="55" t="s">
        <v>2056</v>
      </c>
      <c r="G709" s="56"/>
      <c r="H709" s="57"/>
      <c r="I709" s="51"/>
      <c r="J709" s="51">
        <f>131</f>
        <v>131</v>
      </c>
      <c r="K709" s="58">
        <v>8.8657407407407417E-3</v>
      </c>
      <c r="L709" s="59" t="s">
        <v>2042</v>
      </c>
      <c r="M709" s="51"/>
      <c r="N709" s="51"/>
      <c r="O709" s="51"/>
      <c r="P709" s="51"/>
      <c r="Q709" s="37" t="str">
        <f t="shared" ca="1" si="0"/>
        <v/>
      </c>
      <c r="R709" s="52"/>
      <c r="S709" s="52"/>
      <c r="T709" s="52"/>
      <c r="U709" s="61"/>
      <c r="V709" s="62"/>
      <c r="W709" s="63"/>
      <c r="X709" s="64"/>
      <c r="Y709" s="18"/>
      <c r="Z709" s="18"/>
      <c r="AA709" s="18"/>
      <c r="AB709" s="18"/>
    </row>
    <row r="710" spans="1:28">
      <c r="A710" s="51">
        <v>709</v>
      </c>
      <c r="B710" s="52"/>
      <c r="C710" s="61"/>
      <c r="D710" s="51"/>
      <c r="E710" s="51" t="s">
        <v>2057</v>
      </c>
      <c r="F710" s="55" t="s">
        <v>2058</v>
      </c>
      <c r="G710" s="56"/>
      <c r="H710" s="57"/>
      <c r="I710" s="51"/>
      <c r="J710" s="51">
        <f>420</f>
        <v>420</v>
      </c>
      <c r="K710" s="58">
        <v>5.0000000000000001E-3</v>
      </c>
      <c r="L710" s="59" t="s">
        <v>2042</v>
      </c>
      <c r="M710" s="51"/>
      <c r="N710" s="51"/>
      <c r="O710" s="51"/>
      <c r="P710" s="51"/>
      <c r="Q710" s="37" t="str">
        <f t="shared" ca="1" si="0"/>
        <v/>
      </c>
      <c r="R710" s="52"/>
      <c r="S710" s="52"/>
      <c r="T710" s="52"/>
      <c r="U710" s="61"/>
      <c r="V710" s="62"/>
      <c r="W710" s="63"/>
      <c r="X710" s="64"/>
      <c r="Y710" s="18"/>
      <c r="Z710" s="18"/>
      <c r="AA710" s="18"/>
      <c r="AB710" s="18"/>
    </row>
    <row r="711" spans="1:28">
      <c r="A711" s="51">
        <v>710</v>
      </c>
      <c r="B711" s="52"/>
      <c r="C711" s="61"/>
      <c r="D711" s="51"/>
      <c r="E711" s="51" t="s">
        <v>2059</v>
      </c>
      <c r="F711" s="55" t="s">
        <v>2060</v>
      </c>
      <c r="G711" s="56"/>
      <c r="H711" s="57"/>
      <c r="I711" s="51"/>
      <c r="J711" s="51">
        <f>1*1000</f>
        <v>1000</v>
      </c>
      <c r="K711" s="58">
        <v>2.0324074074074074E-2</v>
      </c>
      <c r="L711" s="59" t="s">
        <v>2042</v>
      </c>
      <c r="M711" s="51"/>
      <c r="N711" s="51"/>
      <c r="O711" s="51"/>
      <c r="P711" s="51"/>
      <c r="Q711" s="37" t="str">
        <f t="shared" ca="1" si="0"/>
        <v/>
      </c>
      <c r="R711" s="52"/>
      <c r="S711" s="52"/>
      <c r="T711" s="52"/>
      <c r="U711" s="61"/>
      <c r="V711" s="62"/>
      <c r="W711" s="63"/>
      <c r="X711" s="64"/>
      <c r="Y711" s="18"/>
      <c r="Z711" s="18"/>
      <c r="AA711" s="18"/>
      <c r="AB711" s="18"/>
    </row>
    <row r="712" spans="1:28">
      <c r="A712" s="51">
        <v>711</v>
      </c>
      <c r="B712" s="52"/>
      <c r="C712" s="61"/>
      <c r="D712" s="51"/>
      <c r="E712" s="51" t="s">
        <v>2061</v>
      </c>
      <c r="F712" s="55" t="s">
        <v>2062</v>
      </c>
      <c r="G712" s="56"/>
      <c r="H712" s="57"/>
      <c r="I712" s="51"/>
      <c r="J712" s="51">
        <f>508</f>
        <v>508</v>
      </c>
      <c r="K712" s="58">
        <v>1.9409722222222221E-2</v>
      </c>
      <c r="L712" s="59" t="s">
        <v>2042</v>
      </c>
      <c r="M712" s="51"/>
      <c r="N712" s="51"/>
      <c r="O712" s="51"/>
      <c r="P712" s="51"/>
      <c r="Q712" s="37" t="str">
        <f t="shared" ca="1" si="0"/>
        <v/>
      </c>
      <c r="R712" s="52"/>
      <c r="S712" s="52"/>
      <c r="T712" s="52"/>
      <c r="U712" s="61"/>
      <c r="V712" s="62"/>
      <c r="W712" s="63"/>
      <c r="X712" s="64"/>
      <c r="Y712" s="18"/>
      <c r="Z712" s="18"/>
      <c r="AA712" s="18"/>
      <c r="AB712" s="18"/>
    </row>
    <row r="713" spans="1:28">
      <c r="A713" s="51">
        <v>712</v>
      </c>
      <c r="B713" s="52"/>
      <c r="C713" s="61"/>
      <c r="D713" s="51"/>
      <c r="E713" s="51" t="s">
        <v>2063</v>
      </c>
      <c r="F713" s="55" t="s">
        <v>2064</v>
      </c>
      <c r="G713" s="56"/>
      <c r="H713" s="57"/>
      <c r="I713" s="51"/>
      <c r="J713" s="51">
        <f>710</f>
        <v>710</v>
      </c>
      <c r="K713" s="58">
        <v>1.2604166666666666E-2</v>
      </c>
      <c r="L713" s="59" t="s">
        <v>2042</v>
      </c>
      <c r="M713" s="51"/>
      <c r="N713" s="51"/>
      <c r="O713" s="51"/>
      <c r="P713" s="51"/>
      <c r="Q713" s="37" t="str">
        <f t="shared" ca="1" si="0"/>
        <v/>
      </c>
      <c r="R713" s="52"/>
      <c r="S713" s="52"/>
      <c r="T713" s="52"/>
      <c r="U713" s="61"/>
      <c r="V713" s="62"/>
      <c r="W713" s="63"/>
      <c r="X713" s="64"/>
      <c r="Y713" s="18"/>
      <c r="Z713" s="18"/>
      <c r="AA713" s="18"/>
      <c r="AB713" s="18"/>
    </row>
    <row r="714" spans="1:28">
      <c r="A714" s="51">
        <v>713</v>
      </c>
      <c r="B714" s="52"/>
      <c r="C714" s="61"/>
      <c r="D714" s="51"/>
      <c r="E714" s="51" t="s">
        <v>2065</v>
      </c>
      <c r="F714" s="55" t="s">
        <v>2066</v>
      </c>
      <c r="G714" s="56"/>
      <c r="H714" s="57"/>
      <c r="I714" s="51"/>
      <c r="J714" s="51">
        <f>1*1000</f>
        <v>1000</v>
      </c>
      <c r="K714" s="58">
        <v>1.5243055555555557E-2</v>
      </c>
      <c r="L714" s="59" t="s">
        <v>2042</v>
      </c>
      <c r="M714" s="51"/>
      <c r="N714" s="51"/>
      <c r="O714" s="51"/>
      <c r="P714" s="51"/>
      <c r="Q714" s="37" t="str">
        <f t="shared" ca="1" si="0"/>
        <v/>
      </c>
      <c r="R714" s="52"/>
      <c r="S714" s="52"/>
      <c r="T714" s="52"/>
      <c r="U714" s="61"/>
      <c r="V714" s="62"/>
      <c r="W714" s="63"/>
      <c r="X714" s="64"/>
      <c r="Y714" s="18"/>
      <c r="Z714" s="18"/>
      <c r="AA714" s="18"/>
      <c r="AB714" s="18"/>
    </row>
    <row r="715" spans="1:28">
      <c r="A715" s="51">
        <v>714</v>
      </c>
      <c r="B715" s="52"/>
      <c r="C715" s="61"/>
      <c r="D715" s="51"/>
      <c r="E715" s="51" t="s">
        <v>2067</v>
      </c>
      <c r="F715" s="55" t="s">
        <v>2068</v>
      </c>
      <c r="G715" s="56"/>
      <c r="H715" s="57"/>
      <c r="I715" s="51"/>
      <c r="J715" s="51">
        <f>878</f>
        <v>878</v>
      </c>
      <c r="K715" s="58">
        <v>1.892361111111111E-2</v>
      </c>
      <c r="L715" s="59" t="s">
        <v>2042</v>
      </c>
      <c r="M715" s="51"/>
      <c r="N715" s="51"/>
      <c r="O715" s="51"/>
      <c r="P715" s="51"/>
      <c r="Q715" s="37" t="str">
        <f t="shared" ca="1" si="0"/>
        <v/>
      </c>
      <c r="R715" s="52"/>
      <c r="S715" s="52"/>
      <c r="T715" s="52"/>
      <c r="U715" s="61"/>
      <c r="V715" s="62"/>
      <c r="W715" s="63"/>
      <c r="X715" s="64"/>
      <c r="Y715" s="18"/>
      <c r="Z715" s="18"/>
      <c r="AA715" s="18"/>
      <c r="AB715" s="18"/>
    </row>
    <row r="716" spans="1:28">
      <c r="A716" s="51">
        <v>715</v>
      </c>
      <c r="B716" s="52"/>
      <c r="C716" s="61"/>
      <c r="D716" s="51"/>
      <c r="E716" s="51" t="s">
        <v>2069</v>
      </c>
      <c r="F716" s="55" t="s">
        <v>2070</v>
      </c>
      <c r="G716" s="56"/>
      <c r="H716" s="57"/>
      <c r="I716" s="51"/>
      <c r="J716" s="51">
        <f>1.1*1000</f>
        <v>1100</v>
      </c>
      <c r="K716" s="58">
        <v>1.4074074074074074E-2</v>
      </c>
      <c r="L716" s="59" t="s">
        <v>2042</v>
      </c>
      <c r="M716" s="51"/>
      <c r="N716" s="51"/>
      <c r="O716" s="51"/>
      <c r="P716" s="51"/>
      <c r="Q716" s="37" t="str">
        <f t="shared" ca="1" si="0"/>
        <v/>
      </c>
      <c r="R716" s="52"/>
      <c r="S716" s="52"/>
      <c r="T716" s="52"/>
      <c r="U716" s="61"/>
      <c r="V716" s="62"/>
      <c r="W716" s="63"/>
      <c r="X716" s="64"/>
      <c r="Y716" s="18"/>
      <c r="Z716" s="18"/>
      <c r="AA716" s="18"/>
      <c r="AB716" s="18"/>
    </row>
    <row r="717" spans="1:28">
      <c r="A717" s="51">
        <v>716</v>
      </c>
      <c r="B717" s="52"/>
      <c r="C717" s="61"/>
      <c r="D717" s="51"/>
      <c r="E717" s="51" t="s">
        <v>2071</v>
      </c>
      <c r="F717" s="55" t="s">
        <v>2072</v>
      </c>
      <c r="G717" s="56"/>
      <c r="H717" s="57"/>
      <c r="I717" s="51"/>
      <c r="J717" s="51">
        <f>347</f>
        <v>347</v>
      </c>
      <c r="K717" s="58">
        <v>1.9259259259259261E-2</v>
      </c>
      <c r="L717" s="59" t="s">
        <v>2042</v>
      </c>
      <c r="M717" s="51"/>
      <c r="N717" s="51"/>
      <c r="O717" s="51"/>
      <c r="P717" s="51"/>
      <c r="Q717" s="37" t="str">
        <f t="shared" ca="1" si="0"/>
        <v/>
      </c>
      <c r="R717" s="52"/>
      <c r="S717" s="52"/>
      <c r="T717" s="52"/>
      <c r="U717" s="61"/>
      <c r="V717" s="62"/>
      <c r="W717" s="63"/>
      <c r="X717" s="64"/>
      <c r="Y717" s="18"/>
      <c r="Z717" s="18"/>
      <c r="AA717" s="18"/>
      <c r="AB717" s="18"/>
    </row>
    <row r="718" spans="1:28">
      <c r="A718" s="51">
        <v>717</v>
      </c>
      <c r="B718" s="52"/>
      <c r="C718" s="61"/>
      <c r="D718" s="51"/>
      <c r="E718" s="51" t="s">
        <v>2073</v>
      </c>
      <c r="F718" s="55" t="s">
        <v>2074</v>
      </c>
      <c r="G718" s="56"/>
      <c r="H718" s="57"/>
      <c r="I718" s="51"/>
      <c r="J718" s="51">
        <f>465</f>
        <v>465</v>
      </c>
      <c r="K718" s="58">
        <v>1.4363425925925925E-2</v>
      </c>
      <c r="L718" s="59" t="s">
        <v>2042</v>
      </c>
      <c r="M718" s="51"/>
      <c r="N718" s="51"/>
      <c r="O718" s="51"/>
      <c r="P718" s="51"/>
      <c r="Q718" s="37" t="str">
        <f t="shared" ca="1" si="0"/>
        <v/>
      </c>
      <c r="R718" s="52"/>
      <c r="S718" s="52"/>
      <c r="T718" s="52"/>
      <c r="U718" s="61"/>
      <c r="V718" s="62"/>
      <c r="W718" s="63"/>
      <c r="X718" s="64"/>
      <c r="Y718" s="18"/>
      <c r="Z718" s="18"/>
      <c r="AA718" s="18"/>
      <c r="AB718" s="18"/>
    </row>
    <row r="719" spans="1:28">
      <c r="A719" s="51">
        <v>718</v>
      </c>
      <c r="B719" s="52"/>
      <c r="C719" s="61"/>
      <c r="D719" s="51"/>
      <c r="E719" s="51" t="s">
        <v>2075</v>
      </c>
      <c r="F719" s="55" t="s">
        <v>2076</v>
      </c>
      <c r="G719" s="56"/>
      <c r="H719" s="57"/>
      <c r="I719" s="51"/>
      <c r="J719" s="51">
        <f>1.1*1000</f>
        <v>1100</v>
      </c>
      <c r="K719" s="58">
        <v>3.1249999999999997E-3</v>
      </c>
      <c r="L719" s="59" t="s">
        <v>2042</v>
      </c>
      <c r="M719" s="51"/>
      <c r="N719" s="51"/>
      <c r="O719" s="51"/>
      <c r="P719" s="51"/>
      <c r="Q719" s="37" t="str">
        <f t="shared" ca="1" si="0"/>
        <v/>
      </c>
      <c r="R719" s="52"/>
      <c r="S719" s="52"/>
      <c r="T719" s="52"/>
      <c r="U719" s="61"/>
      <c r="V719" s="62"/>
      <c r="W719" s="63"/>
      <c r="X719" s="64"/>
      <c r="Y719" s="18"/>
      <c r="Z719" s="18"/>
      <c r="AA719" s="18"/>
      <c r="AB719" s="18"/>
    </row>
    <row r="720" spans="1:28">
      <c r="A720" s="51">
        <v>719</v>
      </c>
      <c r="B720" s="52"/>
      <c r="C720" s="61"/>
      <c r="D720" s="51"/>
      <c r="E720" s="51" t="s">
        <v>2077</v>
      </c>
      <c r="F720" s="55" t="s">
        <v>2078</v>
      </c>
      <c r="G720" s="56"/>
      <c r="H720" s="57"/>
      <c r="I720" s="51"/>
      <c r="J720" s="51">
        <f>690</f>
        <v>690</v>
      </c>
      <c r="K720" s="58">
        <v>5.8217592592592592E-3</v>
      </c>
      <c r="L720" s="59" t="s">
        <v>2042</v>
      </c>
      <c r="M720" s="51"/>
      <c r="N720" s="51"/>
      <c r="O720" s="51"/>
      <c r="P720" s="51"/>
      <c r="Q720" s="37" t="str">
        <f t="shared" ca="1" si="0"/>
        <v/>
      </c>
      <c r="R720" s="52"/>
      <c r="S720" s="52"/>
      <c r="T720" s="52"/>
      <c r="U720" s="61"/>
      <c r="V720" s="62"/>
      <c r="W720" s="63"/>
      <c r="X720" s="64"/>
      <c r="Y720" s="18"/>
      <c r="Z720" s="18"/>
      <c r="AA720" s="18"/>
      <c r="AB720" s="18"/>
    </row>
    <row r="721" spans="1:28">
      <c r="A721" s="51">
        <v>720</v>
      </c>
      <c r="B721" s="52"/>
      <c r="C721" s="61"/>
      <c r="D721" s="51"/>
      <c r="E721" s="51" t="s">
        <v>2079</v>
      </c>
      <c r="F721" s="55" t="s">
        <v>2080</v>
      </c>
      <c r="G721" s="56"/>
      <c r="H721" s="57"/>
      <c r="I721" s="51"/>
      <c r="J721" s="51">
        <f>734</f>
        <v>734</v>
      </c>
      <c r="K721" s="58">
        <v>2.3784722222222221E-2</v>
      </c>
      <c r="L721" s="59" t="s">
        <v>2042</v>
      </c>
      <c r="M721" s="51"/>
      <c r="N721" s="51"/>
      <c r="O721" s="51"/>
      <c r="P721" s="51"/>
      <c r="Q721" s="37" t="str">
        <f t="shared" ca="1" si="0"/>
        <v/>
      </c>
      <c r="R721" s="52"/>
      <c r="S721" s="52"/>
      <c r="T721" s="52"/>
      <c r="U721" s="61"/>
      <c r="V721" s="62"/>
      <c r="W721" s="63"/>
      <c r="X721" s="64"/>
      <c r="Y721" s="18"/>
      <c r="Z721" s="18"/>
      <c r="AA721" s="18"/>
      <c r="AB721" s="18"/>
    </row>
    <row r="722" spans="1:28">
      <c r="A722" s="51">
        <v>721</v>
      </c>
      <c r="B722" s="52"/>
      <c r="C722" s="61"/>
      <c r="D722" s="51"/>
      <c r="E722" s="51" t="s">
        <v>2081</v>
      </c>
      <c r="F722" s="55" t="s">
        <v>2082</v>
      </c>
      <c r="G722" s="56"/>
      <c r="H722" s="57"/>
      <c r="I722" s="51"/>
      <c r="J722" s="51">
        <f>2.4*1000</f>
        <v>2400</v>
      </c>
      <c r="K722" s="58">
        <v>2.5509259259259259E-2</v>
      </c>
      <c r="L722" s="59" t="s">
        <v>2042</v>
      </c>
      <c r="M722" s="51"/>
      <c r="N722" s="51"/>
      <c r="O722" s="51"/>
      <c r="P722" s="51"/>
      <c r="Q722" s="37" t="str">
        <f t="shared" ca="1" si="0"/>
        <v/>
      </c>
      <c r="R722" s="52"/>
      <c r="S722" s="52"/>
      <c r="T722" s="52"/>
      <c r="U722" s="61"/>
      <c r="V722" s="62"/>
      <c r="W722" s="63"/>
      <c r="X722" s="64"/>
      <c r="Y722" s="18"/>
      <c r="Z722" s="18"/>
      <c r="AA722" s="18"/>
      <c r="AB722" s="18"/>
    </row>
    <row r="723" spans="1:28">
      <c r="A723" s="51">
        <v>722</v>
      </c>
      <c r="B723" s="52"/>
      <c r="C723" s="61"/>
      <c r="D723" s="51"/>
      <c r="E723" s="51" t="s">
        <v>2083</v>
      </c>
      <c r="F723" s="55" t="s">
        <v>2084</v>
      </c>
      <c r="G723" s="56"/>
      <c r="H723" s="57"/>
      <c r="I723" s="51"/>
      <c r="J723" s="51">
        <f>698</f>
        <v>698</v>
      </c>
      <c r="K723" s="58">
        <v>1.6608796296296299E-2</v>
      </c>
      <c r="L723" s="59" t="s">
        <v>2042</v>
      </c>
      <c r="M723" s="51"/>
      <c r="N723" s="51"/>
      <c r="O723" s="51"/>
      <c r="P723" s="51"/>
      <c r="Q723" s="37" t="str">
        <f t="shared" ca="1" si="0"/>
        <v/>
      </c>
      <c r="R723" s="52"/>
      <c r="S723" s="52"/>
      <c r="T723" s="52"/>
      <c r="U723" s="61"/>
      <c r="V723" s="62"/>
      <c r="W723" s="63"/>
      <c r="X723" s="64"/>
      <c r="Y723" s="18"/>
      <c r="Z723" s="18"/>
      <c r="AA723" s="18"/>
      <c r="AB723" s="18"/>
    </row>
    <row r="724" spans="1:28">
      <c r="A724" s="51">
        <v>723</v>
      </c>
      <c r="B724" s="52"/>
      <c r="C724" s="61"/>
      <c r="D724" s="51"/>
      <c r="E724" s="51" t="s">
        <v>2085</v>
      </c>
      <c r="F724" s="55" t="s">
        <v>2086</v>
      </c>
      <c r="G724" s="56"/>
      <c r="H724" s="57"/>
      <c r="I724" s="51"/>
      <c r="J724" s="51">
        <f>587</f>
        <v>587</v>
      </c>
      <c r="K724" s="58">
        <v>1.3506944444444445E-2</v>
      </c>
      <c r="L724" s="59" t="s">
        <v>2042</v>
      </c>
      <c r="M724" s="51"/>
      <c r="N724" s="51"/>
      <c r="O724" s="51"/>
      <c r="P724" s="51"/>
      <c r="Q724" s="37" t="str">
        <f t="shared" ca="1" si="0"/>
        <v/>
      </c>
      <c r="R724" s="52"/>
      <c r="S724" s="52"/>
      <c r="T724" s="52"/>
      <c r="U724" s="61"/>
      <c r="V724" s="62"/>
      <c r="W724" s="63"/>
      <c r="X724" s="64"/>
      <c r="Y724" s="18"/>
      <c r="Z724" s="18"/>
      <c r="AA724" s="18"/>
      <c r="AB724" s="18"/>
    </row>
    <row r="725" spans="1:28">
      <c r="A725" s="51">
        <v>724</v>
      </c>
      <c r="B725" s="52"/>
      <c r="C725" s="61"/>
      <c r="D725" s="51"/>
      <c r="E725" s="51" t="s">
        <v>2087</v>
      </c>
      <c r="F725" s="55" t="s">
        <v>2088</v>
      </c>
      <c r="G725" s="56"/>
      <c r="H725" s="57"/>
      <c r="I725" s="51"/>
      <c r="J725" s="51">
        <f>304</f>
        <v>304</v>
      </c>
      <c r="K725" s="58">
        <v>2.2141203703703705E-2</v>
      </c>
      <c r="L725" s="59" t="s">
        <v>2042</v>
      </c>
      <c r="M725" s="51"/>
      <c r="N725" s="51"/>
      <c r="O725" s="51"/>
      <c r="P725" s="51"/>
      <c r="Q725" s="37" t="str">
        <f t="shared" ca="1" si="0"/>
        <v/>
      </c>
      <c r="R725" s="52"/>
      <c r="S725" s="52"/>
      <c r="T725" s="52"/>
      <c r="U725" s="61"/>
      <c r="V725" s="62"/>
      <c r="W725" s="63"/>
      <c r="X725" s="64"/>
      <c r="Y725" s="18"/>
      <c r="Z725" s="18"/>
      <c r="AA725" s="18"/>
      <c r="AB725" s="18"/>
    </row>
    <row r="726" spans="1:28">
      <c r="A726" s="51">
        <v>725</v>
      </c>
      <c r="B726" s="52"/>
      <c r="C726" s="61"/>
      <c r="D726" s="51"/>
      <c r="E726" s="51" t="s">
        <v>2089</v>
      </c>
      <c r="F726" s="55" t="s">
        <v>2090</v>
      </c>
      <c r="G726" s="56"/>
      <c r="H726" s="57"/>
      <c r="I726" s="51"/>
      <c r="J726" s="51">
        <f>361</f>
        <v>361</v>
      </c>
      <c r="K726" s="58">
        <v>2.568287037037037E-2</v>
      </c>
      <c r="L726" s="59" t="s">
        <v>2042</v>
      </c>
      <c r="M726" s="51"/>
      <c r="N726" s="51"/>
      <c r="O726" s="51"/>
      <c r="P726" s="51"/>
      <c r="Q726" s="37" t="str">
        <f t="shared" ca="1" si="0"/>
        <v/>
      </c>
      <c r="R726" s="52"/>
      <c r="S726" s="52"/>
      <c r="T726" s="52"/>
      <c r="U726" s="61"/>
      <c r="V726" s="62"/>
      <c r="W726" s="63"/>
      <c r="X726" s="64"/>
      <c r="Y726" s="18"/>
      <c r="Z726" s="18"/>
      <c r="AA726" s="18"/>
      <c r="AB726" s="18"/>
    </row>
    <row r="727" spans="1:28">
      <c r="A727" s="51">
        <v>726</v>
      </c>
      <c r="B727" s="52"/>
      <c r="C727" s="61"/>
      <c r="D727" s="51"/>
      <c r="E727" s="51" t="s">
        <v>2091</v>
      </c>
      <c r="F727" s="55" t="s">
        <v>2092</v>
      </c>
      <c r="G727" s="56"/>
      <c r="H727" s="57"/>
      <c r="I727" s="51"/>
      <c r="J727" s="51">
        <f>2.2*1000</f>
        <v>2200</v>
      </c>
      <c r="K727" s="58">
        <v>1.9722222222222221E-2</v>
      </c>
      <c r="L727" s="59" t="s">
        <v>2042</v>
      </c>
      <c r="M727" s="51"/>
      <c r="N727" s="51"/>
      <c r="O727" s="51"/>
      <c r="P727" s="51"/>
      <c r="Q727" s="37" t="str">
        <f t="shared" ca="1" si="0"/>
        <v/>
      </c>
      <c r="R727" s="52"/>
      <c r="S727" s="52"/>
      <c r="T727" s="52"/>
      <c r="U727" s="61"/>
      <c r="V727" s="62"/>
      <c r="W727" s="63"/>
      <c r="X727" s="64"/>
      <c r="Y727" s="18"/>
      <c r="Z727" s="18"/>
      <c r="AA727" s="18"/>
      <c r="AB727" s="18"/>
    </row>
    <row r="728" spans="1:28">
      <c r="A728" s="51">
        <v>727</v>
      </c>
      <c r="B728" s="52"/>
      <c r="C728" s="61"/>
      <c r="D728" s="51"/>
      <c r="E728" s="51" t="s">
        <v>2093</v>
      </c>
      <c r="F728" s="55" t="s">
        <v>2094</v>
      </c>
      <c r="G728" s="56"/>
      <c r="H728" s="57"/>
      <c r="I728" s="51"/>
      <c r="J728" s="51">
        <f>1.6*1000</f>
        <v>1600</v>
      </c>
      <c r="K728" s="58">
        <v>3.3888888888888885E-2</v>
      </c>
      <c r="L728" s="59" t="s">
        <v>2042</v>
      </c>
      <c r="M728" s="51"/>
      <c r="N728" s="51"/>
      <c r="O728" s="51"/>
      <c r="P728" s="51"/>
      <c r="Q728" s="37" t="str">
        <f t="shared" ca="1" si="0"/>
        <v/>
      </c>
      <c r="R728" s="52"/>
      <c r="S728" s="52"/>
      <c r="T728" s="52"/>
      <c r="U728" s="61"/>
      <c r="V728" s="62"/>
      <c r="W728" s="63"/>
      <c r="X728" s="64"/>
      <c r="Y728" s="18"/>
      <c r="Z728" s="18"/>
      <c r="AA728" s="18"/>
      <c r="AB728" s="18"/>
    </row>
    <row r="729" spans="1:28">
      <c r="A729" s="51">
        <v>728</v>
      </c>
      <c r="B729" s="52"/>
      <c r="C729" s="61"/>
      <c r="D729" s="51"/>
      <c r="E729" s="51" t="s">
        <v>2095</v>
      </c>
      <c r="F729" s="55" t="s">
        <v>2096</v>
      </c>
      <c r="G729" s="56"/>
      <c r="H729" s="57"/>
      <c r="I729" s="51"/>
      <c r="J729" s="51">
        <f>245</f>
        <v>245</v>
      </c>
      <c r="K729" s="58">
        <v>2.344907407407407E-2</v>
      </c>
      <c r="L729" s="59" t="s">
        <v>2042</v>
      </c>
      <c r="M729" s="51"/>
      <c r="N729" s="51"/>
      <c r="O729" s="51"/>
      <c r="P729" s="51"/>
      <c r="Q729" s="37" t="str">
        <f t="shared" ca="1" si="0"/>
        <v/>
      </c>
      <c r="R729" s="52"/>
      <c r="S729" s="52"/>
      <c r="T729" s="52"/>
      <c r="U729" s="61"/>
      <c r="V729" s="62"/>
      <c r="W729" s="63"/>
      <c r="X729" s="64"/>
      <c r="Y729" s="18"/>
      <c r="Z729" s="18"/>
      <c r="AA729" s="18"/>
      <c r="AB729" s="18"/>
    </row>
    <row r="730" spans="1:28">
      <c r="A730" s="51">
        <v>729</v>
      </c>
      <c r="B730" s="52"/>
      <c r="C730" s="61"/>
      <c r="D730" s="51"/>
      <c r="E730" s="51" t="s">
        <v>2097</v>
      </c>
      <c r="F730" s="55" t="s">
        <v>2098</v>
      </c>
      <c r="G730" s="56"/>
      <c r="H730" s="57"/>
      <c r="I730" s="51"/>
      <c r="J730" s="51">
        <f>479</f>
        <v>479</v>
      </c>
      <c r="K730" s="58">
        <v>2.9953703703703705E-2</v>
      </c>
      <c r="L730" s="59" t="s">
        <v>2042</v>
      </c>
      <c r="M730" s="51"/>
      <c r="N730" s="51"/>
      <c r="O730" s="51"/>
      <c r="P730" s="51"/>
      <c r="Q730" s="37" t="str">
        <f t="shared" ca="1" si="0"/>
        <v/>
      </c>
      <c r="R730" s="52"/>
      <c r="S730" s="52"/>
      <c r="T730" s="52"/>
      <c r="U730" s="61"/>
      <c r="V730" s="62"/>
      <c r="W730" s="63"/>
      <c r="X730" s="64"/>
      <c r="Y730" s="18"/>
      <c r="Z730" s="18"/>
      <c r="AA730" s="18"/>
      <c r="AB730" s="18"/>
    </row>
    <row r="731" spans="1:28">
      <c r="A731" s="51">
        <v>730</v>
      </c>
      <c r="B731" s="52"/>
      <c r="C731" s="61"/>
      <c r="D731" s="51"/>
      <c r="E731" s="51" t="s">
        <v>2099</v>
      </c>
      <c r="F731" s="55" t="s">
        <v>2100</v>
      </c>
      <c r="G731" s="56"/>
      <c r="H731" s="57"/>
      <c r="I731" s="51"/>
      <c r="J731" s="51">
        <f>217</f>
        <v>217</v>
      </c>
      <c r="K731" s="58">
        <v>1.2881944444444446E-2</v>
      </c>
      <c r="L731" s="59" t="s">
        <v>2042</v>
      </c>
      <c r="M731" s="51"/>
      <c r="N731" s="51"/>
      <c r="O731" s="51"/>
      <c r="P731" s="51"/>
      <c r="Q731" s="37" t="str">
        <f t="shared" ca="1" si="0"/>
        <v/>
      </c>
      <c r="R731" s="52"/>
      <c r="S731" s="52"/>
      <c r="T731" s="52"/>
      <c r="U731" s="61"/>
      <c r="V731" s="62"/>
      <c r="W731" s="63"/>
      <c r="X731" s="64"/>
      <c r="Y731" s="18"/>
      <c r="Z731" s="18"/>
      <c r="AA731" s="18"/>
      <c r="AB731" s="18"/>
    </row>
    <row r="732" spans="1:28">
      <c r="A732" s="51">
        <v>731</v>
      </c>
      <c r="B732" s="52"/>
      <c r="C732" s="61"/>
      <c r="D732" s="51"/>
      <c r="E732" s="51" t="s">
        <v>2101</v>
      </c>
      <c r="F732" s="55" t="s">
        <v>2102</v>
      </c>
      <c r="G732" s="56"/>
      <c r="H732" s="57"/>
      <c r="I732" s="51"/>
      <c r="J732" s="51">
        <f>5.5*1000</f>
        <v>5500</v>
      </c>
      <c r="K732" s="58">
        <v>1.8912037037037036E-2</v>
      </c>
      <c r="L732" s="59" t="s">
        <v>2042</v>
      </c>
      <c r="M732" s="51"/>
      <c r="N732" s="51"/>
      <c r="O732" s="51"/>
      <c r="P732" s="51"/>
      <c r="Q732" s="37" t="str">
        <f t="shared" ca="1" si="0"/>
        <v/>
      </c>
      <c r="R732" s="52"/>
      <c r="S732" s="52"/>
      <c r="T732" s="52"/>
      <c r="U732" s="61"/>
      <c r="V732" s="62"/>
      <c r="W732" s="63"/>
      <c r="X732" s="64"/>
      <c r="Y732" s="18"/>
      <c r="Z732" s="18"/>
      <c r="AA732" s="18"/>
      <c r="AB732" s="18"/>
    </row>
    <row r="733" spans="1:28">
      <c r="A733" s="51">
        <v>732</v>
      </c>
      <c r="B733" s="52"/>
      <c r="C733" s="61"/>
      <c r="D733" s="51"/>
      <c r="E733" s="51" t="s">
        <v>2103</v>
      </c>
      <c r="F733" s="55" t="s">
        <v>2104</v>
      </c>
      <c r="G733" s="56"/>
      <c r="H733" s="57"/>
      <c r="I733" s="51"/>
      <c r="J733" s="51">
        <f>335</f>
        <v>335</v>
      </c>
      <c r="K733" s="58">
        <v>2.3877314814814813E-2</v>
      </c>
      <c r="L733" s="59" t="s">
        <v>2042</v>
      </c>
      <c r="M733" s="51"/>
      <c r="N733" s="51"/>
      <c r="O733" s="51"/>
      <c r="P733" s="51"/>
      <c r="Q733" s="37" t="str">
        <f t="shared" ca="1" si="0"/>
        <v/>
      </c>
      <c r="R733" s="52"/>
      <c r="S733" s="52"/>
      <c r="T733" s="52"/>
      <c r="U733" s="61"/>
      <c r="V733" s="62"/>
      <c r="W733" s="63"/>
      <c r="X733" s="64"/>
      <c r="Y733" s="18"/>
      <c r="Z733" s="18"/>
      <c r="AA733" s="18"/>
      <c r="AB733" s="18"/>
    </row>
    <row r="734" spans="1:28">
      <c r="A734" s="51">
        <v>733</v>
      </c>
      <c r="B734" s="52"/>
      <c r="C734" s="61"/>
      <c r="D734" s="51"/>
      <c r="E734" s="51" t="s">
        <v>2105</v>
      </c>
      <c r="F734" s="55" t="s">
        <v>2106</v>
      </c>
      <c r="G734" s="56"/>
      <c r="H734" s="57"/>
      <c r="I734" s="51"/>
      <c r="J734" s="51">
        <f>4.4*1000</f>
        <v>4400</v>
      </c>
      <c r="K734" s="58">
        <v>1.7638888888888888E-2</v>
      </c>
      <c r="L734" s="59" t="s">
        <v>2042</v>
      </c>
      <c r="M734" s="51"/>
      <c r="N734" s="51"/>
      <c r="O734" s="51"/>
      <c r="P734" s="51"/>
      <c r="Q734" s="37" t="str">
        <f t="shared" ca="1" si="0"/>
        <v/>
      </c>
      <c r="R734" s="52"/>
      <c r="S734" s="52"/>
      <c r="T734" s="52"/>
      <c r="U734" s="61"/>
      <c r="V734" s="62"/>
      <c r="W734" s="63"/>
      <c r="X734" s="64"/>
      <c r="Y734" s="18"/>
      <c r="Z734" s="18"/>
      <c r="AA734" s="18"/>
      <c r="AB734" s="18"/>
    </row>
    <row r="735" spans="1:28">
      <c r="A735" s="51">
        <v>734</v>
      </c>
      <c r="B735" s="52"/>
      <c r="C735" s="61"/>
      <c r="D735" s="51"/>
      <c r="E735" s="51" t="s">
        <v>2107</v>
      </c>
      <c r="F735" s="55" t="s">
        <v>2108</v>
      </c>
      <c r="G735" s="56"/>
      <c r="H735" s="57"/>
      <c r="I735" s="51"/>
      <c r="J735" s="51">
        <f>1.3*1000</f>
        <v>1300</v>
      </c>
      <c r="K735" s="58">
        <v>1.2222222222222223E-2</v>
      </c>
      <c r="L735" s="59" t="s">
        <v>2042</v>
      </c>
      <c r="M735" s="51"/>
      <c r="N735" s="51"/>
      <c r="O735" s="51"/>
      <c r="P735" s="51"/>
      <c r="Q735" s="37" t="str">
        <f t="shared" ca="1" si="0"/>
        <v/>
      </c>
      <c r="R735" s="52"/>
      <c r="S735" s="52"/>
      <c r="T735" s="52"/>
      <c r="U735" s="61"/>
      <c r="V735" s="62"/>
      <c r="W735" s="63"/>
      <c r="X735" s="64"/>
      <c r="Y735" s="18"/>
      <c r="Z735" s="18"/>
      <c r="AA735" s="18"/>
      <c r="AB735" s="18"/>
    </row>
    <row r="736" spans="1:28">
      <c r="A736" s="51">
        <v>735</v>
      </c>
      <c r="B736" s="52"/>
      <c r="C736" s="61"/>
      <c r="D736" s="51"/>
      <c r="E736" s="51" t="s">
        <v>2109</v>
      </c>
      <c r="F736" s="55" t="s">
        <v>2110</v>
      </c>
      <c r="G736" s="56"/>
      <c r="H736" s="57"/>
      <c r="I736" s="51"/>
      <c r="J736" s="51">
        <f>684</f>
        <v>684</v>
      </c>
      <c r="K736" s="58">
        <v>3.0092592592592588E-3</v>
      </c>
      <c r="L736" s="59" t="s">
        <v>2042</v>
      </c>
      <c r="M736" s="51"/>
      <c r="N736" s="51"/>
      <c r="O736" s="51"/>
      <c r="P736" s="51"/>
      <c r="Q736" s="37" t="str">
        <f t="shared" ca="1" si="0"/>
        <v/>
      </c>
      <c r="R736" s="52"/>
      <c r="S736" s="52"/>
      <c r="T736" s="52"/>
      <c r="U736" s="61"/>
      <c r="V736" s="62"/>
      <c r="W736" s="63"/>
      <c r="X736" s="64"/>
      <c r="Y736" s="18"/>
      <c r="Z736" s="18"/>
      <c r="AA736" s="18"/>
      <c r="AB736" s="18"/>
    </row>
    <row r="737" spans="1:28">
      <c r="A737" s="51">
        <v>736</v>
      </c>
      <c r="B737" s="52"/>
      <c r="C737" s="61"/>
      <c r="D737" s="51"/>
      <c r="E737" s="51" t="s">
        <v>2111</v>
      </c>
      <c r="F737" s="55" t="s">
        <v>2112</v>
      </c>
      <c r="G737" s="56"/>
      <c r="H737" s="57"/>
      <c r="I737" s="51"/>
      <c r="J737" s="51">
        <f>570</f>
        <v>570</v>
      </c>
      <c r="K737" s="58">
        <v>5.2893518518518515E-3</v>
      </c>
      <c r="L737" s="59" t="s">
        <v>2042</v>
      </c>
      <c r="M737" s="51"/>
      <c r="N737" s="51"/>
      <c r="O737" s="51"/>
      <c r="P737" s="51"/>
      <c r="Q737" s="37" t="str">
        <f t="shared" ca="1" si="0"/>
        <v/>
      </c>
      <c r="R737" s="52"/>
      <c r="S737" s="52"/>
      <c r="T737" s="52"/>
      <c r="U737" s="61"/>
      <c r="V737" s="62"/>
      <c r="W737" s="63"/>
      <c r="X737" s="64"/>
      <c r="Y737" s="18"/>
      <c r="Z737" s="18"/>
      <c r="AA737" s="18"/>
      <c r="AB737" s="18"/>
    </row>
    <row r="738" spans="1:28">
      <c r="A738" s="51">
        <v>737</v>
      </c>
      <c r="B738" s="52"/>
      <c r="C738" s="61"/>
      <c r="D738" s="51"/>
      <c r="E738" s="51" t="s">
        <v>2113</v>
      </c>
      <c r="F738" s="55" t="s">
        <v>2114</v>
      </c>
      <c r="G738" s="56"/>
      <c r="H738" s="57"/>
      <c r="I738" s="51"/>
      <c r="J738" s="51">
        <f>431</f>
        <v>431</v>
      </c>
      <c r="K738" s="58">
        <v>5.347222222222222E-3</v>
      </c>
      <c r="L738" s="59" t="s">
        <v>2042</v>
      </c>
      <c r="M738" s="51"/>
      <c r="N738" s="51"/>
      <c r="O738" s="51"/>
      <c r="P738" s="51"/>
      <c r="Q738" s="37" t="str">
        <f t="shared" ca="1" si="0"/>
        <v/>
      </c>
      <c r="R738" s="52"/>
      <c r="S738" s="52"/>
      <c r="T738" s="52"/>
      <c r="U738" s="61"/>
      <c r="V738" s="62"/>
      <c r="W738" s="63"/>
      <c r="X738" s="64"/>
      <c r="Y738" s="18"/>
      <c r="Z738" s="18"/>
      <c r="AA738" s="18"/>
      <c r="AB738" s="18"/>
    </row>
    <row r="739" spans="1:28">
      <c r="A739" s="51">
        <v>738</v>
      </c>
      <c r="B739" s="52"/>
      <c r="C739" s="61"/>
      <c r="D739" s="51"/>
      <c r="E739" s="51" t="s">
        <v>2115</v>
      </c>
      <c r="F739" s="55" t="s">
        <v>2116</v>
      </c>
      <c r="G739" s="56"/>
      <c r="H739" s="57"/>
      <c r="I739" s="51"/>
      <c r="J739" s="51">
        <f>1.3*1000</f>
        <v>1300</v>
      </c>
      <c r="K739" s="58">
        <v>2.2812499999999999E-2</v>
      </c>
      <c r="L739" s="59" t="s">
        <v>2042</v>
      </c>
      <c r="M739" s="51"/>
      <c r="N739" s="51"/>
      <c r="O739" s="51"/>
      <c r="P739" s="51"/>
      <c r="Q739" s="37" t="str">
        <f t="shared" ca="1" si="0"/>
        <v/>
      </c>
      <c r="R739" s="52"/>
      <c r="S739" s="52"/>
      <c r="T739" s="52"/>
      <c r="U739" s="61"/>
      <c r="V739" s="62"/>
      <c r="W739" s="63"/>
      <c r="X739" s="64"/>
      <c r="Y739" s="18"/>
      <c r="Z739" s="18"/>
      <c r="AA739" s="18"/>
      <c r="AB739" s="18"/>
    </row>
    <row r="740" spans="1:28">
      <c r="A740" s="51">
        <v>739</v>
      </c>
      <c r="B740" s="69" t="s">
        <v>98</v>
      </c>
      <c r="C740" s="61"/>
      <c r="D740" s="51"/>
      <c r="E740" s="51" t="s">
        <v>2117</v>
      </c>
      <c r="F740" s="55" t="s">
        <v>2118</v>
      </c>
      <c r="G740" s="56"/>
      <c r="H740" s="57"/>
      <c r="I740" s="51"/>
      <c r="J740" s="51">
        <f>14*1000</f>
        <v>14000</v>
      </c>
      <c r="K740" s="58">
        <v>3.953703703703703E-2</v>
      </c>
      <c r="L740" s="59" t="s">
        <v>2042</v>
      </c>
      <c r="M740" s="51"/>
      <c r="N740" s="51"/>
      <c r="O740" s="51"/>
      <c r="P740" s="51"/>
      <c r="Q740" s="37" t="str">
        <f t="shared" ca="1" si="0"/>
        <v/>
      </c>
      <c r="R740" s="52"/>
      <c r="S740" s="52"/>
      <c r="T740" s="52"/>
      <c r="U740" s="61"/>
      <c r="V740" s="62"/>
      <c r="W740" s="63"/>
      <c r="X740" s="64"/>
      <c r="Y740" s="18"/>
      <c r="Z740" s="18"/>
      <c r="AA740" s="18"/>
      <c r="AB740" s="18"/>
    </row>
    <row r="741" spans="1:28">
      <c r="A741" s="51">
        <v>740</v>
      </c>
      <c r="B741" s="69" t="s">
        <v>127</v>
      </c>
      <c r="C741" s="61"/>
      <c r="D741" s="51"/>
      <c r="E741" s="51" t="s">
        <v>2119</v>
      </c>
      <c r="F741" s="55" t="s">
        <v>2120</v>
      </c>
      <c r="G741" s="56"/>
      <c r="H741" s="57"/>
      <c r="I741" s="51"/>
      <c r="J741" s="51">
        <f>8.1*1000</f>
        <v>8100</v>
      </c>
      <c r="K741" s="58">
        <v>7.2326388888888885E-2</v>
      </c>
      <c r="L741" s="59" t="s">
        <v>2042</v>
      </c>
      <c r="M741" s="51"/>
      <c r="N741" s="51"/>
      <c r="O741" s="51"/>
      <c r="P741" s="51"/>
      <c r="Q741" s="37" t="str">
        <f t="shared" ca="1" si="0"/>
        <v/>
      </c>
      <c r="R741" s="52"/>
      <c r="S741" s="52"/>
      <c r="T741" s="52"/>
      <c r="U741" s="61"/>
      <c r="V741" s="62"/>
      <c r="W741" s="63"/>
      <c r="X741" s="64"/>
      <c r="Y741" s="18"/>
      <c r="Z741" s="18"/>
      <c r="AA741" s="18"/>
      <c r="AB741" s="18"/>
    </row>
    <row r="742" spans="1:28">
      <c r="A742" s="51">
        <v>741</v>
      </c>
      <c r="B742" s="69" t="s">
        <v>97</v>
      </c>
      <c r="C742" s="61"/>
      <c r="D742" s="54" t="s">
        <v>128</v>
      </c>
      <c r="E742" s="51" t="s">
        <v>2121</v>
      </c>
      <c r="F742" s="55" t="s">
        <v>2120</v>
      </c>
      <c r="G742" s="56"/>
      <c r="H742" s="57"/>
      <c r="I742" s="51"/>
      <c r="J742" s="51"/>
      <c r="K742" s="58"/>
      <c r="L742" s="59"/>
      <c r="M742" s="51"/>
      <c r="N742" s="51"/>
      <c r="O742" s="51"/>
      <c r="P742" s="51"/>
      <c r="Q742" s="37" t="str">
        <f t="shared" ca="1" si="0"/>
        <v/>
      </c>
      <c r="R742" s="52"/>
      <c r="S742" s="52"/>
      <c r="T742" s="52"/>
      <c r="U742" s="61"/>
      <c r="V742" s="62"/>
      <c r="W742" s="63"/>
      <c r="X742" s="64"/>
      <c r="Y742" s="18"/>
      <c r="Z742" s="143" t="s">
        <v>2122</v>
      </c>
      <c r="AA742" s="18"/>
      <c r="AB742" s="18"/>
    </row>
    <row r="743" spans="1:28">
      <c r="A743" s="51">
        <v>742</v>
      </c>
      <c r="B743" s="52"/>
      <c r="C743" s="61"/>
      <c r="D743" s="51"/>
      <c r="E743" s="51" t="s">
        <v>2123</v>
      </c>
      <c r="F743" s="55" t="s">
        <v>2124</v>
      </c>
      <c r="G743" s="56"/>
      <c r="H743" s="57"/>
      <c r="I743" s="51"/>
      <c r="J743" s="51">
        <f>18*1000</f>
        <v>18000</v>
      </c>
      <c r="K743" s="58">
        <v>4.4467592592592593E-2</v>
      </c>
      <c r="L743" s="59" t="s">
        <v>2042</v>
      </c>
      <c r="M743" s="51"/>
      <c r="N743" s="51"/>
      <c r="O743" s="51"/>
      <c r="P743" s="51"/>
      <c r="Q743" s="37" t="str">
        <f t="shared" ca="1" si="0"/>
        <v/>
      </c>
      <c r="R743" s="52"/>
      <c r="S743" s="52"/>
      <c r="T743" s="52"/>
      <c r="U743" s="61"/>
      <c r="V743" s="62"/>
      <c r="W743" s="63"/>
      <c r="X743" s="64"/>
      <c r="Y743" s="18"/>
      <c r="Z743" s="18"/>
      <c r="AA743" s="18"/>
      <c r="AB743" s="18"/>
    </row>
    <row r="744" spans="1:28">
      <c r="A744" s="51">
        <v>743</v>
      </c>
      <c r="B744" s="69" t="s">
        <v>127</v>
      </c>
      <c r="C744" s="61"/>
      <c r="D744" s="51"/>
      <c r="E744" s="51" t="s">
        <v>2125</v>
      </c>
      <c r="F744" s="55" t="s">
        <v>2126</v>
      </c>
      <c r="G744" s="56"/>
      <c r="H744" s="57"/>
      <c r="I744" s="51"/>
      <c r="J744" s="51">
        <f>10*1000</f>
        <v>10000</v>
      </c>
      <c r="K744" s="58">
        <v>4.5474537037037042E-2</v>
      </c>
      <c r="L744" s="59" t="s">
        <v>2042</v>
      </c>
      <c r="M744" s="51"/>
      <c r="N744" s="51"/>
      <c r="O744" s="51"/>
      <c r="P744" s="51"/>
      <c r="Q744" s="37" t="str">
        <f t="shared" ca="1" si="0"/>
        <v/>
      </c>
      <c r="R744" s="52"/>
      <c r="S744" s="52"/>
      <c r="T744" s="52"/>
      <c r="U744" s="61"/>
      <c r="V744" s="62"/>
      <c r="W744" s="63"/>
      <c r="X744" s="64"/>
      <c r="Y744" s="18"/>
      <c r="Z744" s="18"/>
      <c r="AA744" s="18"/>
      <c r="AB744" s="18"/>
    </row>
    <row r="745" spans="1:28">
      <c r="A745" s="51">
        <v>744</v>
      </c>
      <c r="B745" s="52"/>
      <c r="C745" s="61"/>
      <c r="D745" s="51"/>
      <c r="E745" s="51" t="s">
        <v>2127</v>
      </c>
      <c r="F745" s="55" t="s">
        <v>2128</v>
      </c>
      <c r="G745" s="56"/>
      <c r="H745" s="57"/>
      <c r="I745" s="51"/>
      <c r="J745" s="51">
        <f>114*1000</f>
        <v>114000</v>
      </c>
      <c r="K745" s="58">
        <v>4.2650462962962959E-2</v>
      </c>
      <c r="L745" s="59" t="s">
        <v>2129</v>
      </c>
      <c r="M745" s="51"/>
      <c r="N745" s="51"/>
      <c r="O745" s="51"/>
      <c r="P745" s="51"/>
      <c r="Q745" s="37" t="str">
        <f t="shared" ca="1" si="0"/>
        <v/>
      </c>
      <c r="R745" s="52"/>
      <c r="S745" s="52"/>
      <c r="T745" s="52"/>
      <c r="U745" s="61"/>
      <c r="V745" s="62"/>
      <c r="W745" s="63"/>
      <c r="X745" s="64"/>
      <c r="Y745" s="18"/>
      <c r="Z745" s="18"/>
      <c r="AA745" s="18"/>
      <c r="AB745" s="18"/>
    </row>
    <row r="746" spans="1:28">
      <c r="A746" s="51">
        <v>745</v>
      </c>
      <c r="B746" s="69" t="s">
        <v>98</v>
      </c>
      <c r="C746" s="61"/>
      <c r="D746" s="51"/>
      <c r="E746" s="51" t="s">
        <v>2130</v>
      </c>
      <c r="F746" s="55" t="s">
        <v>2131</v>
      </c>
      <c r="G746" s="56"/>
      <c r="H746" s="57"/>
      <c r="I746" s="51"/>
      <c r="J746" s="51">
        <f>27*1000</f>
        <v>27000</v>
      </c>
      <c r="K746" s="58">
        <v>4.2083333333333334E-2</v>
      </c>
      <c r="L746" s="59" t="s">
        <v>2129</v>
      </c>
      <c r="M746" s="51"/>
      <c r="N746" s="51"/>
      <c r="O746" s="51"/>
      <c r="P746" s="51"/>
      <c r="Q746" s="37" t="str">
        <f t="shared" ca="1" si="0"/>
        <v/>
      </c>
      <c r="R746" s="52"/>
      <c r="S746" s="52"/>
      <c r="T746" s="52"/>
      <c r="U746" s="61"/>
      <c r="V746" s="62"/>
      <c r="W746" s="63"/>
      <c r="X746" s="64"/>
      <c r="Y746" s="18"/>
      <c r="Z746" s="18"/>
      <c r="AA746" s="18"/>
      <c r="AB746" s="18"/>
    </row>
    <row r="747" spans="1:28">
      <c r="A747" s="51">
        <v>746</v>
      </c>
      <c r="B747" s="52"/>
      <c r="C747" s="61"/>
      <c r="D747" s="51"/>
      <c r="E747" s="51" t="s">
        <v>2132</v>
      </c>
      <c r="F747" s="55" t="s">
        <v>2133</v>
      </c>
      <c r="G747" s="56"/>
      <c r="H747" s="57"/>
      <c r="I747" s="51"/>
      <c r="J747" s="51">
        <f>17*1000</f>
        <v>17000</v>
      </c>
      <c r="K747" s="58">
        <v>3.9560185185185184E-2</v>
      </c>
      <c r="L747" s="59" t="s">
        <v>2129</v>
      </c>
      <c r="M747" s="51"/>
      <c r="N747" s="51"/>
      <c r="O747" s="51"/>
      <c r="P747" s="51"/>
      <c r="Q747" s="37" t="str">
        <f t="shared" ca="1" si="0"/>
        <v/>
      </c>
      <c r="R747" s="52"/>
      <c r="S747" s="52"/>
      <c r="T747" s="52"/>
      <c r="U747" s="61"/>
      <c r="V747" s="62"/>
      <c r="W747" s="63"/>
      <c r="X747" s="64"/>
      <c r="Y747" s="18"/>
      <c r="Z747" s="18"/>
      <c r="AA747" s="18"/>
      <c r="AB747" s="18"/>
    </row>
    <row r="748" spans="1:28">
      <c r="A748" s="51">
        <v>747</v>
      </c>
      <c r="B748" s="52"/>
      <c r="C748" s="61"/>
      <c r="D748" s="51"/>
      <c r="E748" s="51" t="s">
        <v>2134</v>
      </c>
      <c r="F748" s="55" t="s">
        <v>2135</v>
      </c>
      <c r="G748" s="56"/>
      <c r="H748" s="57"/>
      <c r="I748" s="51"/>
      <c r="J748" s="51">
        <f>24*1000</f>
        <v>24000</v>
      </c>
      <c r="K748" s="58">
        <v>4.5462962962962962E-2</v>
      </c>
      <c r="L748" s="59" t="s">
        <v>2129</v>
      </c>
      <c r="M748" s="51"/>
      <c r="N748" s="51"/>
      <c r="O748" s="51"/>
      <c r="P748" s="51"/>
      <c r="Q748" s="37" t="str">
        <f t="shared" ca="1" si="0"/>
        <v/>
      </c>
      <c r="R748" s="52"/>
      <c r="S748" s="52"/>
      <c r="T748" s="52"/>
      <c r="U748" s="61"/>
      <c r="V748" s="62"/>
      <c r="W748" s="63"/>
      <c r="X748" s="64"/>
      <c r="Y748" s="18"/>
      <c r="Z748" s="18"/>
      <c r="AA748" s="18"/>
      <c r="AB748" s="18"/>
    </row>
    <row r="749" spans="1:28">
      <c r="A749" s="51">
        <v>748</v>
      </c>
      <c r="B749" s="52"/>
      <c r="C749" s="61"/>
      <c r="D749" s="51"/>
      <c r="E749" s="51" t="s">
        <v>2136</v>
      </c>
      <c r="F749" s="55" t="s">
        <v>2137</v>
      </c>
      <c r="G749" s="56"/>
      <c r="H749" s="57"/>
      <c r="I749" s="51"/>
      <c r="J749" s="51">
        <f>22*1000</f>
        <v>22000</v>
      </c>
      <c r="K749" s="58">
        <v>3.2557870370370369E-2</v>
      </c>
      <c r="L749" s="59" t="s">
        <v>2129</v>
      </c>
      <c r="M749" s="51"/>
      <c r="N749" s="51"/>
      <c r="O749" s="51"/>
      <c r="P749" s="51"/>
      <c r="Q749" s="37" t="str">
        <f t="shared" ca="1" si="0"/>
        <v/>
      </c>
      <c r="R749" s="52"/>
      <c r="S749" s="52"/>
      <c r="T749" s="52"/>
      <c r="U749" s="61"/>
      <c r="V749" s="62"/>
      <c r="W749" s="63"/>
      <c r="X749" s="64"/>
      <c r="Y749" s="18"/>
      <c r="Z749" s="18"/>
      <c r="AA749" s="18"/>
      <c r="AB749" s="18"/>
    </row>
    <row r="750" spans="1:28">
      <c r="A750" s="51">
        <v>749</v>
      </c>
      <c r="B750" s="52"/>
      <c r="C750" s="61"/>
      <c r="D750" s="51"/>
      <c r="E750" s="51" t="s">
        <v>2138</v>
      </c>
      <c r="F750" s="55" t="s">
        <v>2139</v>
      </c>
      <c r="G750" s="56"/>
      <c r="H750" s="57"/>
      <c r="I750" s="51"/>
      <c r="J750" s="51">
        <f>27*1000</f>
        <v>27000</v>
      </c>
      <c r="K750" s="58">
        <v>3.3379629629629634E-2</v>
      </c>
      <c r="L750" s="59" t="s">
        <v>2140</v>
      </c>
      <c r="M750" s="51"/>
      <c r="N750" s="51"/>
      <c r="O750" s="51"/>
      <c r="P750" s="51"/>
      <c r="Q750" s="37" t="str">
        <f t="shared" ca="1" si="0"/>
        <v/>
      </c>
      <c r="R750" s="52"/>
      <c r="S750" s="52"/>
      <c r="T750" s="52"/>
      <c r="U750" s="61"/>
      <c r="V750" s="62"/>
      <c r="W750" s="63"/>
      <c r="X750" s="64"/>
      <c r="Y750" s="18"/>
      <c r="Z750" s="18"/>
      <c r="AA750" s="18"/>
      <c r="AB750" s="18"/>
    </row>
    <row r="751" spans="1:28">
      <c r="A751" s="51">
        <v>750</v>
      </c>
      <c r="B751" s="69" t="s">
        <v>127</v>
      </c>
      <c r="C751" s="61"/>
      <c r="D751" s="51"/>
      <c r="E751" s="51" t="s">
        <v>2141</v>
      </c>
      <c r="F751" s="55" t="s">
        <v>2142</v>
      </c>
      <c r="G751" s="56"/>
      <c r="H751" s="57"/>
      <c r="I751" s="51"/>
      <c r="J751" s="51">
        <f>14*1000</f>
        <v>14000</v>
      </c>
      <c r="K751" s="58">
        <v>4.2465277777777775E-2</v>
      </c>
      <c r="L751" s="59" t="s">
        <v>2140</v>
      </c>
      <c r="M751" s="51"/>
      <c r="N751" s="51"/>
      <c r="O751" s="51"/>
      <c r="P751" s="51"/>
      <c r="Q751" s="37" t="str">
        <f t="shared" ca="1" si="0"/>
        <v/>
      </c>
      <c r="R751" s="52"/>
      <c r="S751" s="52"/>
      <c r="T751" s="52"/>
      <c r="U751" s="61"/>
      <c r="V751" s="62"/>
      <c r="W751" s="63"/>
      <c r="X751" s="64"/>
      <c r="Y751" s="18"/>
      <c r="Z751" s="18"/>
      <c r="AA751" s="18"/>
      <c r="AB751" s="18"/>
    </row>
    <row r="752" spans="1:28">
      <c r="A752" s="51">
        <v>751</v>
      </c>
      <c r="B752" s="69" t="s">
        <v>131</v>
      </c>
      <c r="C752" s="61"/>
      <c r="D752" s="51"/>
      <c r="E752" s="51" t="s">
        <v>2143</v>
      </c>
      <c r="F752" s="55" t="s">
        <v>2144</v>
      </c>
      <c r="G752" s="56"/>
      <c r="H752" s="57"/>
      <c r="I752" s="51"/>
      <c r="J752" s="51">
        <f>6.7*1000</f>
        <v>6700</v>
      </c>
      <c r="K752" s="58">
        <v>8.1655092592592585E-2</v>
      </c>
      <c r="L752" s="59" t="s">
        <v>2140</v>
      </c>
      <c r="M752" s="51"/>
      <c r="N752" s="51"/>
      <c r="O752" s="51"/>
      <c r="P752" s="51"/>
      <c r="Q752" s="37" t="str">
        <f t="shared" ca="1" si="0"/>
        <v/>
      </c>
      <c r="R752" s="52"/>
      <c r="S752" s="52"/>
      <c r="T752" s="52"/>
      <c r="U752" s="61"/>
      <c r="V752" s="62"/>
      <c r="W752" s="63"/>
      <c r="X752" s="64"/>
      <c r="Y752" s="18"/>
      <c r="Z752" s="18"/>
      <c r="AA752" s="18"/>
      <c r="AB752" s="18"/>
    </row>
    <row r="753" spans="1:28">
      <c r="A753" s="51">
        <v>752</v>
      </c>
      <c r="B753" s="69" t="s">
        <v>98</v>
      </c>
      <c r="C753" s="61"/>
      <c r="D753" s="51"/>
      <c r="E753" s="51" t="s">
        <v>2145</v>
      </c>
      <c r="F753" s="55" t="s">
        <v>2146</v>
      </c>
      <c r="G753" s="56"/>
      <c r="H753" s="57"/>
      <c r="I753" s="51"/>
      <c r="J753" s="51">
        <f>39*1000</f>
        <v>39000</v>
      </c>
      <c r="K753" s="58">
        <v>2.6944444444444441E-2</v>
      </c>
      <c r="L753" s="59" t="s">
        <v>2140</v>
      </c>
      <c r="M753" s="51"/>
      <c r="N753" s="51"/>
      <c r="O753" s="51"/>
      <c r="P753" s="51"/>
      <c r="Q753" s="37" t="str">
        <f t="shared" ca="1" si="0"/>
        <v/>
      </c>
      <c r="R753" s="52"/>
      <c r="S753" s="52"/>
      <c r="T753" s="52"/>
      <c r="U753" s="61"/>
      <c r="V753" s="62"/>
      <c r="W753" s="63"/>
      <c r="X753" s="64"/>
      <c r="Y753" s="18"/>
      <c r="Z753" s="18"/>
      <c r="AA753" s="18"/>
      <c r="AB753" s="18"/>
    </row>
    <row r="754" spans="1:28">
      <c r="A754" s="51">
        <v>753</v>
      </c>
      <c r="B754" s="52"/>
      <c r="C754" s="61"/>
      <c r="D754" s="51"/>
      <c r="E754" s="51" t="s">
        <v>2147</v>
      </c>
      <c r="F754" s="55" t="s">
        <v>2148</v>
      </c>
      <c r="G754" s="56"/>
      <c r="H754" s="57"/>
      <c r="I754" s="51"/>
      <c r="J754" s="51">
        <f>10*1000</f>
        <v>10000</v>
      </c>
      <c r="K754" s="58">
        <v>4.3171296296296298E-2</v>
      </c>
      <c r="L754" s="59" t="s">
        <v>2140</v>
      </c>
      <c r="M754" s="51"/>
      <c r="N754" s="51"/>
      <c r="O754" s="51"/>
      <c r="P754" s="51"/>
      <c r="Q754" s="37" t="str">
        <f t="shared" ca="1" si="0"/>
        <v/>
      </c>
      <c r="R754" s="52"/>
      <c r="S754" s="52"/>
      <c r="T754" s="52"/>
      <c r="U754" s="61"/>
      <c r="V754" s="62"/>
      <c r="W754" s="63"/>
      <c r="X754" s="64"/>
      <c r="Y754" s="18"/>
      <c r="Z754" s="18"/>
      <c r="AA754" s="18"/>
      <c r="AB754" s="18"/>
    </row>
    <row r="755" spans="1:28">
      <c r="A755" s="51">
        <v>754</v>
      </c>
      <c r="B755" s="52"/>
      <c r="C755" s="61"/>
      <c r="D755" s="51"/>
      <c r="E755" s="51" t="s">
        <v>2149</v>
      </c>
      <c r="F755" s="55" t="s">
        <v>2150</v>
      </c>
      <c r="G755" s="56"/>
      <c r="H755" s="57"/>
      <c r="I755" s="51"/>
      <c r="J755" s="51">
        <f>22*1000</f>
        <v>22000</v>
      </c>
      <c r="K755" s="58">
        <v>5.1331018518518519E-2</v>
      </c>
      <c r="L755" s="59" t="s">
        <v>2151</v>
      </c>
      <c r="M755" s="51"/>
      <c r="N755" s="51"/>
      <c r="O755" s="51"/>
      <c r="P755" s="51"/>
      <c r="Q755" s="37" t="str">
        <f t="shared" ca="1" si="0"/>
        <v/>
      </c>
      <c r="R755" s="52"/>
      <c r="S755" s="52"/>
      <c r="T755" s="52"/>
      <c r="U755" s="61"/>
      <c r="V755" s="62"/>
      <c r="W755" s="63"/>
      <c r="X755" s="64"/>
      <c r="Y755" s="18"/>
      <c r="Z755" s="18"/>
      <c r="AA755" s="18"/>
      <c r="AB755" s="18"/>
    </row>
    <row r="756" spans="1:28">
      <c r="A756" s="51">
        <v>755</v>
      </c>
      <c r="B756" s="52"/>
      <c r="C756" s="61"/>
      <c r="D756" s="51"/>
      <c r="E756" s="51" t="s">
        <v>2152</v>
      </c>
      <c r="F756" s="55" t="s">
        <v>2153</v>
      </c>
      <c r="G756" s="56"/>
      <c r="H756" s="57"/>
      <c r="I756" s="51"/>
      <c r="J756" s="51">
        <f>12*1000</f>
        <v>12000</v>
      </c>
      <c r="K756" s="58">
        <v>6.8020833333333336E-2</v>
      </c>
      <c r="L756" s="59" t="s">
        <v>2154</v>
      </c>
      <c r="M756" s="51"/>
      <c r="N756" s="51"/>
      <c r="O756" s="51"/>
      <c r="P756" s="51"/>
      <c r="Q756" s="37" t="str">
        <f t="shared" ca="1" si="0"/>
        <v/>
      </c>
      <c r="R756" s="52"/>
      <c r="S756" s="52"/>
      <c r="T756" s="52"/>
      <c r="U756" s="61"/>
      <c r="V756" s="62"/>
      <c r="W756" s="63"/>
      <c r="X756" s="64"/>
      <c r="Y756" s="18"/>
      <c r="Z756" s="18"/>
      <c r="AA756" s="18"/>
      <c r="AB756" s="18"/>
    </row>
    <row r="757" spans="1:28">
      <c r="A757" s="51">
        <v>756</v>
      </c>
      <c r="B757" s="52"/>
      <c r="C757" s="61"/>
      <c r="D757" s="51"/>
      <c r="E757" s="51" t="s">
        <v>2155</v>
      </c>
      <c r="F757" s="55" t="s">
        <v>2156</v>
      </c>
      <c r="G757" s="56"/>
      <c r="H757" s="57"/>
      <c r="I757" s="51"/>
      <c r="J757" s="51">
        <f>17*1000</f>
        <v>17000</v>
      </c>
      <c r="K757" s="58">
        <v>3.3888888888888885E-2</v>
      </c>
      <c r="L757" s="59" t="s">
        <v>2157</v>
      </c>
      <c r="M757" s="51"/>
      <c r="N757" s="51"/>
      <c r="O757" s="51"/>
      <c r="P757" s="51"/>
      <c r="Q757" s="37" t="str">
        <f t="shared" ca="1" si="0"/>
        <v/>
      </c>
      <c r="R757" s="52"/>
      <c r="S757" s="52"/>
      <c r="T757" s="52"/>
      <c r="U757" s="61"/>
      <c r="V757" s="62"/>
      <c r="W757" s="63"/>
      <c r="X757" s="64"/>
      <c r="Y757" s="18"/>
      <c r="Z757" s="18"/>
      <c r="AA757" s="18"/>
      <c r="AB757" s="18"/>
    </row>
    <row r="758" spans="1:28">
      <c r="A758" s="51">
        <v>757</v>
      </c>
      <c r="B758" s="69" t="s">
        <v>122</v>
      </c>
      <c r="C758" s="53"/>
      <c r="D758" s="54" t="s">
        <v>120</v>
      </c>
      <c r="E758" s="51" t="s">
        <v>1491</v>
      </c>
      <c r="F758" s="55" t="s">
        <v>1493</v>
      </c>
      <c r="G758" s="56"/>
      <c r="H758" s="57"/>
      <c r="I758" s="51"/>
      <c r="J758" s="51">
        <f>9.5*1000</f>
        <v>9500</v>
      </c>
      <c r="K758" s="58">
        <v>5.0972222222222224E-2</v>
      </c>
      <c r="L758" s="135" t="s">
        <v>1495</v>
      </c>
      <c r="M758" s="136"/>
      <c r="N758" s="51"/>
      <c r="O758" s="51"/>
      <c r="P758" s="136">
        <v>43007</v>
      </c>
      <c r="Q758" s="37" t="str">
        <f t="shared" ca="1" si="0"/>
        <v/>
      </c>
      <c r="R758" s="52"/>
      <c r="S758" s="52"/>
      <c r="T758" s="52"/>
      <c r="U758" s="61"/>
      <c r="V758" s="62"/>
      <c r="W758" s="63"/>
      <c r="X758" s="64"/>
      <c r="Y758" s="18"/>
      <c r="Z758" s="18"/>
      <c r="AA758" s="18"/>
      <c r="AB758" s="18"/>
    </row>
    <row r="759" spans="1:28">
      <c r="A759" s="51"/>
      <c r="B759" s="52"/>
      <c r="C759" s="61"/>
      <c r="D759" s="51"/>
      <c r="E759" s="51"/>
      <c r="F759" s="56"/>
      <c r="G759" s="51"/>
      <c r="H759" s="37"/>
      <c r="I759" s="51"/>
      <c r="J759" s="51"/>
      <c r="K759" s="58"/>
      <c r="L759" s="59"/>
      <c r="M759" s="18"/>
      <c r="N759" s="18"/>
      <c r="O759" s="18"/>
      <c r="P759" s="18"/>
      <c r="Q759" s="18"/>
      <c r="R759" s="166"/>
      <c r="S759" s="166"/>
      <c r="T759" s="168"/>
      <c r="U759" s="169"/>
      <c r="V759" s="170"/>
      <c r="W759" s="172"/>
      <c r="X759" s="174"/>
      <c r="Y759" s="18"/>
      <c r="Z759" s="18"/>
      <c r="AA759" s="18"/>
      <c r="AB759" s="18"/>
    </row>
    <row r="760" spans="1:28">
      <c r="A760" s="51"/>
      <c r="B760" s="52"/>
      <c r="C760" s="61"/>
      <c r="D760" s="51"/>
      <c r="E760" s="51"/>
      <c r="F760" s="56"/>
      <c r="G760" s="51"/>
      <c r="H760" s="37"/>
      <c r="I760" s="51"/>
      <c r="J760" s="51"/>
      <c r="K760" s="58"/>
      <c r="L760" s="59"/>
      <c r="M760" s="18"/>
      <c r="N760" s="18"/>
      <c r="O760" s="18"/>
      <c r="P760" s="18"/>
      <c r="Q760" s="18"/>
      <c r="R760" s="166"/>
      <c r="S760" s="166"/>
      <c r="T760" s="168"/>
      <c r="U760" s="169"/>
      <c r="V760" s="170"/>
      <c r="W760" s="172"/>
      <c r="X760" s="174"/>
      <c r="Y760" s="18"/>
      <c r="Z760" s="18"/>
      <c r="AA760" s="18"/>
      <c r="AB760" s="18"/>
    </row>
    <row r="761" spans="1:28">
      <c r="A761" s="51"/>
      <c r="B761" s="52"/>
      <c r="C761" s="61"/>
      <c r="D761" s="51"/>
      <c r="E761" s="51"/>
      <c r="F761" s="56"/>
      <c r="G761" s="51"/>
      <c r="H761" s="37"/>
      <c r="I761" s="51"/>
      <c r="J761" s="51"/>
      <c r="K761" s="58"/>
      <c r="L761" s="59"/>
      <c r="M761" s="18"/>
      <c r="N761" s="18"/>
      <c r="O761" s="18"/>
      <c r="P761" s="18"/>
      <c r="Q761" s="18"/>
      <c r="R761" s="166"/>
      <c r="S761" s="166"/>
      <c r="T761" s="168"/>
      <c r="U761" s="169"/>
      <c r="V761" s="170"/>
      <c r="W761" s="172"/>
      <c r="X761" s="174"/>
      <c r="Y761" s="18"/>
      <c r="Z761" s="18"/>
      <c r="AA761" s="18"/>
      <c r="AB761" s="18"/>
    </row>
    <row r="762" spans="1:28">
      <c r="A762" s="51"/>
      <c r="B762" s="52"/>
      <c r="C762" s="61"/>
      <c r="D762" s="51"/>
      <c r="E762" s="51"/>
      <c r="F762" s="56"/>
      <c r="G762" s="51"/>
      <c r="H762" s="37"/>
      <c r="I762" s="51"/>
      <c r="J762" s="51"/>
      <c r="K762" s="58"/>
      <c r="L762" s="59"/>
      <c r="M762" s="18"/>
      <c r="N762" s="18"/>
      <c r="O762" s="18"/>
      <c r="P762" s="18"/>
      <c r="Q762" s="18"/>
      <c r="R762" s="166"/>
      <c r="S762" s="166"/>
      <c r="T762" s="168"/>
      <c r="U762" s="169"/>
      <c r="V762" s="170"/>
      <c r="W762" s="172"/>
      <c r="X762" s="174"/>
      <c r="Y762" s="18"/>
      <c r="Z762" s="18"/>
      <c r="AA762" s="18"/>
      <c r="AB762" s="18"/>
    </row>
    <row r="763" spans="1:28">
      <c r="A763" s="51"/>
      <c r="B763" s="52"/>
      <c r="C763" s="61"/>
      <c r="D763" s="51"/>
      <c r="E763" s="51"/>
      <c r="F763" s="56"/>
      <c r="G763" s="51"/>
      <c r="H763" s="37"/>
      <c r="I763" s="51"/>
      <c r="J763" s="51"/>
      <c r="K763" s="58"/>
      <c r="L763" s="59"/>
      <c r="M763" s="18"/>
      <c r="N763" s="18"/>
      <c r="O763" s="18"/>
      <c r="P763" s="18"/>
      <c r="Q763" s="18"/>
      <c r="R763" s="166"/>
      <c r="S763" s="166"/>
      <c r="T763" s="168"/>
      <c r="U763" s="169"/>
      <c r="V763" s="170"/>
      <c r="W763" s="172"/>
      <c r="X763" s="174"/>
      <c r="Y763" s="18"/>
      <c r="Z763" s="18"/>
      <c r="AA763" s="18"/>
      <c r="AB763" s="18"/>
    </row>
    <row r="764" spans="1:28">
      <c r="A764" s="51"/>
      <c r="B764" s="52"/>
      <c r="C764" s="61"/>
      <c r="D764" s="51"/>
      <c r="E764" s="51"/>
      <c r="F764" s="56"/>
      <c r="G764" s="51"/>
      <c r="H764" s="37"/>
      <c r="I764" s="51"/>
      <c r="J764" s="51"/>
      <c r="K764" s="58"/>
      <c r="L764" s="59"/>
      <c r="M764" s="18"/>
      <c r="N764" s="18"/>
      <c r="O764" s="18"/>
      <c r="P764" s="18"/>
      <c r="Q764" s="18"/>
      <c r="R764" s="166"/>
      <c r="S764" s="166"/>
      <c r="T764" s="168"/>
      <c r="U764" s="169"/>
      <c r="V764" s="170"/>
      <c r="W764" s="172"/>
      <c r="X764" s="174"/>
      <c r="Y764" s="18"/>
      <c r="Z764" s="18"/>
      <c r="AA764" s="18"/>
      <c r="AB764" s="18"/>
    </row>
    <row r="765" spans="1:28">
      <c r="A765" s="51"/>
      <c r="B765" s="52"/>
      <c r="C765" s="61"/>
      <c r="D765" s="51"/>
      <c r="E765" s="51"/>
      <c r="F765" s="56"/>
      <c r="G765" s="51"/>
      <c r="H765" s="37"/>
      <c r="I765" s="51"/>
      <c r="J765" s="51"/>
      <c r="K765" s="58"/>
      <c r="L765" s="59"/>
      <c r="M765" s="18"/>
      <c r="N765" s="18"/>
      <c r="O765" s="18"/>
      <c r="P765" s="18"/>
      <c r="Q765" s="18"/>
      <c r="R765" s="166"/>
      <c r="S765" s="166"/>
      <c r="T765" s="168"/>
      <c r="U765" s="169"/>
      <c r="V765" s="170"/>
      <c r="W765" s="172"/>
      <c r="X765" s="174"/>
      <c r="Y765" s="18"/>
      <c r="Z765" s="18"/>
      <c r="AA765" s="18"/>
      <c r="AB765" s="18"/>
    </row>
    <row r="766" spans="1:28">
      <c r="A766" s="51"/>
      <c r="B766" s="52"/>
      <c r="C766" s="61"/>
      <c r="D766" s="51"/>
      <c r="E766" s="51"/>
      <c r="F766" s="56"/>
      <c r="G766" s="51"/>
      <c r="H766" s="37"/>
      <c r="I766" s="51"/>
      <c r="J766" s="51"/>
      <c r="K766" s="58"/>
      <c r="L766" s="59"/>
      <c r="M766" s="18"/>
      <c r="N766" s="18"/>
      <c r="O766" s="18"/>
      <c r="P766" s="18"/>
      <c r="Q766" s="18"/>
      <c r="R766" s="166"/>
      <c r="S766" s="166"/>
      <c r="T766" s="168"/>
      <c r="U766" s="169"/>
      <c r="V766" s="170"/>
      <c r="W766" s="172"/>
      <c r="X766" s="174"/>
      <c r="Y766" s="18"/>
      <c r="Z766" s="18"/>
      <c r="AA766" s="18"/>
      <c r="AB766" s="18"/>
    </row>
    <row r="767" spans="1:28">
      <c r="A767" s="51"/>
      <c r="B767" s="52"/>
      <c r="C767" s="61"/>
      <c r="D767" s="51"/>
      <c r="E767" s="51"/>
      <c r="F767" s="56"/>
      <c r="G767" s="51"/>
      <c r="H767" s="37"/>
      <c r="I767" s="51"/>
      <c r="J767" s="51"/>
      <c r="K767" s="58"/>
      <c r="L767" s="59"/>
      <c r="M767" s="18"/>
      <c r="N767" s="18"/>
      <c r="O767" s="18"/>
      <c r="P767" s="18"/>
      <c r="Q767" s="18"/>
      <c r="R767" s="166"/>
      <c r="S767" s="166"/>
      <c r="T767" s="168"/>
      <c r="U767" s="169"/>
      <c r="V767" s="170"/>
      <c r="W767" s="172"/>
      <c r="X767" s="174"/>
      <c r="Y767" s="18"/>
      <c r="Z767" s="18"/>
      <c r="AA767" s="18"/>
      <c r="AB767" s="18"/>
    </row>
    <row r="768" spans="1:28">
      <c r="A768" s="51"/>
      <c r="B768" s="52"/>
      <c r="C768" s="61"/>
      <c r="D768" s="51"/>
      <c r="E768" s="51"/>
      <c r="F768" s="56"/>
      <c r="G768" s="51"/>
      <c r="H768" s="37"/>
      <c r="I768" s="51"/>
      <c r="J768" s="51"/>
      <c r="K768" s="58"/>
      <c r="L768" s="59"/>
      <c r="M768" s="18"/>
      <c r="N768" s="18"/>
      <c r="O768" s="18"/>
      <c r="P768" s="18"/>
      <c r="Q768" s="18"/>
      <c r="R768" s="166"/>
      <c r="S768" s="166"/>
      <c r="T768" s="168"/>
      <c r="U768" s="169"/>
      <c r="V768" s="170"/>
      <c r="W768" s="172"/>
      <c r="X768" s="174"/>
      <c r="Y768" s="18"/>
      <c r="Z768" s="18"/>
      <c r="AA768" s="18"/>
      <c r="AB768" s="18"/>
    </row>
    <row r="769" spans="1:28">
      <c r="A769" s="51"/>
      <c r="B769" s="52"/>
      <c r="C769" s="61"/>
      <c r="D769" s="51"/>
      <c r="E769" s="51"/>
      <c r="F769" s="56"/>
      <c r="G769" s="51"/>
      <c r="H769" s="37"/>
      <c r="I769" s="51"/>
      <c r="J769" s="51"/>
      <c r="K769" s="58"/>
      <c r="L769" s="59"/>
      <c r="M769" s="18"/>
      <c r="N769" s="18"/>
      <c r="O769" s="18"/>
      <c r="P769" s="18"/>
      <c r="Q769" s="18"/>
      <c r="R769" s="166"/>
      <c r="S769" s="166"/>
      <c r="T769" s="168"/>
      <c r="U769" s="169"/>
      <c r="V769" s="170"/>
      <c r="W769" s="172"/>
      <c r="X769" s="174"/>
      <c r="Y769" s="18"/>
      <c r="Z769" s="18"/>
      <c r="AA769" s="18"/>
      <c r="AB769" s="18"/>
    </row>
    <row r="770" spans="1:28">
      <c r="A770" s="51"/>
      <c r="B770" s="52"/>
      <c r="C770" s="61"/>
      <c r="D770" s="51"/>
      <c r="E770" s="51"/>
      <c r="F770" s="56"/>
      <c r="G770" s="51"/>
      <c r="H770" s="37"/>
      <c r="I770" s="51"/>
      <c r="J770" s="51"/>
      <c r="K770" s="58"/>
      <c r="L770" s="59"/>
      <c r="M770" s="18"/>
      <c r="N770" s="18"/>
      <c r="O770" s="18"/>
      <c r="P770" s="18"/>
      <c r="Q770" s="18"/>
      <c r="R770" s="166"/>
      <c r="S770" s="166"/>
      <c r="T770" s="168"/>
      <c r="U770" s="169"/>
      <c r="V770" s="170"/>
      <c r="W770" s="172"/>
      <c r="X770" s="174"/>
      <c r="Y770" s="18"/>
      <c r="Z770" s="18"/>
      <c r="AA770" s="18"/>
      <c r="AB770" s="18"/>
    </row>
    <row r="771" spans="1:28">
      <c r="A771" s="51"/>
      <c r="B771" s="52"/>
      <c r="C771" s="61"/>
      <c r="D771" s="51"/>
      <c r="E771" s="51"/>
      <c r="F771" s="56"/>
      <c r="G771" s="51"/>
      <c r="H771" s="37"/>
      <c r="I771" s="51"/>
      <c r="J771" s="51"/>
      <c r="K771" s="58"/>
      <c r="L771" s="59"/>
      <c r="M771" s="18"/>
      <c r="N771" s="18"/>
      <c r="O771" s="18"/>
      <c r="P771" s="18"/>
      <c r="Q771" s="18"/>
      <c r="R771" s="166"/>
      <c r="S771" s="166"/>
      <c r="T771" s="168"/>
      <c r="U771" s="169"/>
      <c r="V771" s="170"/>
      <c r="W771" s="172"/>
      <c r="X771" s="174"/>
      <c r="Y771" s="18"/>
      <c r="Z771" s="18"/>
      <c r="AA771" s="18"/>
      <c r="AB771" s="18"/>
    </row>
    <row r="772" spans="1:28">
      <c r="A772" s="51"/>
      <c r="B772" s="52"/>
      <c r="C772" s="61"/>
      <c r="D772" s="51"/>
      <c r="E772" s="51"/>
      <c r="F772" s="56"/>
      <c r="G772" s="51"/>
      <c r="H772" s="37"/>
      <c r="I772" s="51"/>
      <c r="J772" s="51"/>
      <c r="K772" s="58"/>
      <c r="L772" s="59"/>
      <c r="M772" s="18"/>
      <c r="N772" s="18"/>
      <c r="O772" s="18"/>
      <c r="P772" s="18"/>
      <c r="Q772" s="18"/>
      <c r="R772" s="166"/>
      <c r="S772" s="166"/>
      <c r="T772" s="168"/>
      <c r="U772" s="169"/>
      <c r="V772" s="170"/>
      <c r="W772" s="172"/>
      <c r="X772" s="174"/>
      <c r="Y772" s="18"/>
      <c r="Z772" s="18"/>
      <c r="AA772" s="18"/>
      <c r="AB772" s="18"/>
    </row>
    <row r="773" spans="1:28">
      <c r="A773" s="51"/>
      <c r="B773" s="52"/>
      <c r="C773" s="61"/>
      <c r="D773" s="51"/>
      <c r="E773" s="51"/>
      <c r="F773" s="56"/>
      <c r="G773" s="51"/>
      <c r="H773" s="37"/>
      <c r="I773" s="51"/>
      <c r="J773" s="51"/>
      <c r="K773" s="58"/>
      <c r="L773" s="59"/>
      <c r="M773" s="18"/>
      <c r="N773" s="18"/>
      <c r="O773" s="18"/>
      <c r="P773" s="18"/>
      <c r="Q773" s="18"/>
      <c r="R773" s="166"/>
      <c r="S773" s="166"/>
      <c r="T773" s="168"/>
      <c r="U773" s="169"/>
      <c r="V773" s="170"/>
      <c r="W773" s="172"/>
      <c r="X773" s="174"/>
      <c r="Y773" s="18"/>
      <c r="Z773" s="18"/>
      <c r="AA773" s="18"/>
      <c r="AB773" s="18"/>
    </row>
    <row r="774" spans="1:28">
      <c r="A774" s="51"/>
      <c r="B774" s="52"/>
      <c r="C774" s="61"/>
      <c r="D774" s="51"/>
      <c r="E774" s="51"/>
      <c r="F774" s="56"/>
      <c r="G774" s="51"/>
      <c r="H774" s="37"/>
      <c r="I774" s="51"/>
      <c r="J774" s="51"/>
      <c r="K774" s="58"/>
      <c r="L774" s="59"/>
      <c r="M774" s="18"/>
      <c r="N774" s="18"/>
      <c r="O774" s="18"/>
      <c r="P774" s="18"/>
      <c r="Q774" s="18"/>
      <c r="R774" s="166"/>
      <c r="S774" s="166"/>
      <c r="T774" s="168"/>
      <c r="U774" s="169"/>
      <c r="V774" s="170"/>
      <c r="W774" s="172"/>
      <c r="X774" s="174"/>
      <c r="Y774" s="18"/>
      <c r="Z774" s="18"/>
      <c r="AA774" s="18"/>
      <c r="AB774" s="18"/>
    </row>
    <row r="775" spans="1:28">
      <c r="A775" s="51"/>
      <c r="B775" s="52"/>
      <c r="C775" s="61"/>
      <c r="D775" s="51"/>
      <c r="E775" s="51"/>
      <c r="F775" s="56"/>
      <c r="G775" s="51"/>
      <c r="H775" s="37"/>
      <c r="I775" s="51"/>
      <c r="J775" s="51"/>
      <c r="K775" s="58"/>
      <c r="L775" s="59"/>
      <c r="M775" s="18"/>
      <c r="N775" s="18"/>
      <c r="O775" s="18"/>
      <c r="P775" s="18"/>
      <c r="Q775" s="18"/>
      <c r="R775" s="166"/>
      <c r="S775" s="166"/>
      <c r="T775" s="168"/>
      <c r="U775" s="169"/>
      <c r="V775" s="170"/>
      <c r="W775" s="172"/>
      <c r="X775" s="174"/>
      <c r="Y775" s="18"/>
      <c r="Z775" s="18"/>
      <c r="AA775" s="18"/>
      <c r="AB775" s="18"/>
    </row>
    <row r="776" spans="1:28">
      <c r="A776" s="51"/>
      <c r="B776" s="52"/>
      <c r="C776" s="61"/>
      <c r="D776" s="51"/>
      <c r="E776" s="51"/>
      <c r="F776" s="56"/>
      <c r="G776" s="51"/>
      <c r="H776" s="37"/>
      <c r="I776" s="51"/>
      <c r="J776" s="51"/>
      <c r="K776" s="58"/>
      <c r="L776" s="59"/>
      <c r="M776" s="18"/>
      <c r="N776" s="18"/>
      <c r="O776" s="18"/>
      <c r="P776" s="18"/>
      <c r="Q776" s="18"/>
      <c r="R776" s="166"/>
      <c r="S776" s="166"/>
      <c r="T776" s="168"/>
      <c r="U776" s="169"/>
      <c r="V776" s="170"/>
      <c r="W776" s="172"/>
      <c r="X776" s="174"/>
      <c r="Y776" s="18"/>
      <c r="Z776" s="18"/>
      <c r="AA776" s="18"/>
      <c r="AB776" s="18"/>
    </row>
    <row r="777" spans="1:28">
      <c r="A777" s="51"/>
      <c r="B777" s="52"/>
      <c r="C777" s="61"/>
      <c r="D777" s="51"/>
      <c r="E777" s="51"/>
      <c r="F777" s="51"/>
      <c r="G777" s="51"/>
      <c r="H777" s="37"/>
      <c r="I777" s="51"/>
      <c r="J777" s="51"/>
      <c r="K777" s="58"/>
      <c r="L777" s="59"/>
      <c r="M777" s="18"/>
      <c r="N777" s="18"/>
      <c r="O777" s="18"/>
      <c r="P777" s="18"/>
      <c r="Q777" s="18"/>
      <c r="R777" s="166"/>
      <c r="S777" s="166"/>
      <c r="T777" s="168"/>
      <c r="U777" s="169"/>
      <c r="V777" s="170"/>
      <c r="W777" s="172"/>
      <c r="X777" s="174"/>
      <c r="Y777" s="18"/>
      <c r="Z777" s="18"/>
      <c r="AA777" s="18"/>
      <c r="AB777" s="18"/>
    </row>
    <row r="778" spans="1:28">
      <c r="A778" s="5"/>
      <c r="B778" s="168"/>
      <c r="C778" s="169"/>
      <c r="D778" s="5"/>
      <c r="E778" s="5"/>
      <c r="F778" s="5"/>
      <c r="G778" s="5"/>
      <c r="H778" s="5"/>
      <c r="I778" s="5"/>
      <c r="J778" s="5"/>
      <c r="K778" s="134"/>
      <c r="L778" s="5"/>
      <c r="M778" s="5"/>
      <c r="N778" s="5"/>
      <c r="O778" s="5"/>
      <c r="P778" s="5"/>
      <c r="Q778" s="5"/>
      <c r="R778" s="168"/>
      <c r="S778" s="168"/>
      <c r="T778" s="168"/>
      <c r="U778" s="169"/>
      <c r="V778" s="180"/>
      <c r="W778" s="172"/>
      <c r="X778" s="174"/>
      <c r="Y778" s="5"/>
      <c r="Z778" s="5"/>
      <c r="AA778" s="5"/>
      <c r="AB778" s="5"/>
    </row>
    <row r="779" spans="1:28">
      <c r="A779" s="5"/>
      <c r="B779" s="168"/>
      <c r="C779" s="169"/>
      <c r="D779" s="5"/>
      <c r="E779" s="5"/>
      <c r="F779" s="5"/>
      <c r="G779" s="5"/>
      <c r="H779" s="5"/>
      <c r="I779" s="5"/>
      <c r="J779" s="5"/>
      <c r="K779" s="134"/>
      <c r="L779" s="5"/>
      <c r="M779" s="5"/>
      <c r="N779" s="5"/>
      <c r="O779" s="5"/>
      <c r="P779" s="5"/>
      <c r="Q779" s="5"/>
      <c r="R779" s="168"/>
      <c r="S779" s="168"/>
      <c r="T779" s="168"/>
      <c r="U779" s="169"/>
      <c r="V779" s="180"/>
      <c r="W779" s="172"/>
      <c r="X779" s="174"/>
      <c r="Y779" s="5"/>
      <c r="Z779" s="5"/>
      <c r="AA779" s="5"/>
      <c r="AB779" s="5"/>
    </row>
    <row r="780" spans="1:28">
      <c r="A780" s="5"/>
      <c r="B780" s="168"/>
      <c r="C780" s="169"/>
      <c r="D780" s="5"/>
      <c r="E780" s="5"/>
      <c r="F780" s="5"/>
      <c r="G780" s="5"/>
      <c r="H780" s="5"/>
      <c r="I780" s="5"/>
      <c r="J780" s="5"/>
      <c r="K780" s="134"/>
      <c r="L780" s="5"/>
      <c r="M780" s="5"/>
      <c r="N780" s="5"/>
      <c r="O780" s="5"/>
      <c r="P780" s="5"/>
      <c r="Q780" s="5"/>
      <c r="R780" s="168"/>
      <c r="S780" s="168"/>
      <c r="T780" s="168"/>
      <c r="U780" s="169"/>
      <c r="V780" s="180"/>
      <c r="W780" s="172"/>
      <c r="X780" s="174"/>
      <c r="Y780" s="5"/>
      <c r="Z780" s="5"/>
      <c r="AA780" s="5"/>
      <c r="AB780" s="5"/>
    </row>
    <row r="781" spans="1:28">
      <c r="A781" s="5"/>
      <c r="B781" s="168"/>
      <c r="C781" s="169"/>
      <c r="D781" s="5"/>
      <c r="E781" s="5"/>
      <c r="F781" s="5"/>
      <c r="G781" s="5"/>
      <c r="H781" s="5"/>
      <c r="I781" s="5"/>
      <c r="J781" s="5"/>
      <c r="K781" s="134"/>
      <c r="L781" s="5"/>
      <c r="M781" s="5"/>
      <c r="N781" s="5"/>
      <c r="O781" s="5"/>
      <c r="P781" s="5"/>
      <c r="Q781" s="5"/>
      <c r="R781" s="168"/>
      <c r="S781" s="168"/>
      <c r="T781" s="168"/>
      <c r="U781" s="169"/>
      <c r="V781" s="180"/>
      <c r="W781" s="172"/>
      <c r="X781" s="174"/>
      <c r="Y781" s="5"/>
      <c r="Z781" s="5"/>
      <c r="AA781" s="5"/>
      <c r="AB781" s="5"/>
    </row>
    <row r="782" spans="1:28">
      <c r="A782" s="5"/>
      <c r="B782" s="168"/>
      <c r="C782" s="169"/>
      <c r="D782" s="5"/>
      <c r="E782" s="5"/>
      <c r="F782" s="5"/>
      <c r="G782" s="5"/>
      <c r="H782" s="5"/>
      <c r="I782" s="5"/>
      <c r="J782" s="5"/>
      <c r="K782" s="134"/>
      <c r="L782" s="5"/>
      <c r="M782" s="5"/>
      <c r="N782" s="5"/>
      <c r="O782" s="5"/>
      <c r="P782" s="5"/>
      <c r="Q782" s="5"/>
      <c r="R782" s="168"/>
      <c r="S782" s="168"/>
      <c r="T782" s="168"/>
      <c r="U782" s="169"/>
      <c r="V782" s="180"/>
      <c r="W782" s="172"/>
      <c r="X782" s="174"/>
      <c r="Y782" s="5"/>
      <c r="Z782" s="5"/>
      <c r="AA782" s="5"/>
      <c r="AB782" s="5"/>
    </row>
    <row r="783" spans="1:28">
      <c r="A783" s="5"/>
      <c r="B783" s="168"/>
      <c r="C783" s="169"/>
      <c r="D783" s="5"/>
      <c r="E783" s="5"/>
      <c r="F783" s="5"/>
      <c r="G783" s="5"/>
      <c r="H783" s="5"/>
      <c r="I783" s="5"/>
      <c r="J783" s="5"/>
      <c r="K783" s="134"/>
      <c r="L783" s="5"/>
      <c r="M783" s="5"/>
      <c r="N783" s="5"/>
      <c r="O783" s="5"/>
      <c r="P783" s="5"/>
      <c r="Q783" s="5"/>
      <c r="R783" s="168"/>
      <c r="S783" s="168"/>
      <c r="T783" s="168"/>
      <c r="U783" s="169"/>
      <c r="V783" s="180"/>
      <c r="W783" s="172"/>
      <c r="X783" s="174"/>
      <c r="Y783" s="5"/>
      <c r="Z783" s="5"/>
      <c r="AA783" s="5"/>
      <c r="AB783" s="5"/>
    </row>
    <row r="784" spans="1:28">
      <c r="A784" s="5"/>
      <c r="B784" s="168"/>
      <c r="C784" s="169"/>
      <c r="D784" s="5"/>
      <c r="E784" s="5"/>
      <c r="F784" s="5"/>
      <c r="G784" s="5"/>
      <c r="H784" s="5"/>
      <c r="I784" s="5"/>
      <c r="J784" s="5"/>
      <c r="K784" s="134"/>
      <c r="L784" s="5"/>
      <c r="M784" s="5"/>
      <c r="N784" s="5"/>
      <c r="O784" s="5"/>
      <c r="P784" s="5"/>
      <c r="Q784" s="5"/>
      <c r="R784" s="168"/>
      <c r="S784" s="168"/>
      <c r="T784" s="168"/>
      <c r="U784" s="169"/>
      <c r="V784" s="180"/>
      <c r="W784" s="172"/>
      <c r="X784" s="174"/>
      <c r="Y784" s="5"/>
      <c r="Z784" s="5"/>
      <c r="AA784" s="5"/>
      <c r="AB784" s="5"/>
    </row>
    <row r="785" spans="1:28">
      <c r="A785" s="5"/>
      <c r="B785" s="168"/>
      <c r="C785" s="169"/>
      <c r="D785" s="5"/>
      <c r="E785" s="5"/>
      <c r="F785" s="5"/>
      <c r="G785" s="5"/>
      <c r="H785" s="5"/>
      <c r="I785" s="5"/>
      <c r="J785" s="5"/>
      <c r="K785" s="134"/>
      <c r="L785" s="5"/>
      <c r="M785" s="5"/>
      <c r="N785" s="5"/>
      <c r="O785" s="5"/>
      <c r="P785" s="5"/>
      <c r="Q785" s="5"/>
      <c r="R785" s="168"/>
      <c r="S785" s="168"/>
      <c r="T785" s="168"/>
      <c r="U785" s="169"/>
      <c r="V785" s="180"/>
      <c r="W785" s="172"/>
      <c r="X785" s="174"/>
      <c r="Y785" s="5"/>
      <c r="Z785" s="5"/>
      <c r="AA785" s="5"/>
      <c r="AB785" s="5"/>
    </row>
    <row r="786" spans="1:28">
      <c r="A786" s="5"/>
      <c r="B786" s="168"/>
      <c r="C786" s="169"/>
      <c r="D786" s="5"/>
      <c r="E786" s="5"/>
      <c r="F786" s="5"/>
      <c r="G786" s="5"/>
      <c r="H786" s="5"/>
      <c r="I786" s="5"/>
      <c r="J786" s="5"/>
      <c r="K786" s="134"/>
      <c r="L786" s="5"/>
      <c r="M786" s="5"/>
      <c r="N786" s="5"/>
      <c r="O786" s="5"/>
      <c r="P786" s="5"/>
      <c r="Q786" s="5"/>
      <c r="R786" s="168"/>
      <c r="S786" s="168"/>
      <c r="T786" s="168"/>
      <c r="U786" s="169"/>
      <c r="V786" s="180"/>
      <c r="W786" s="172"/>
      <c r="X786" s="174"/>
      <c r="Y786" s="5"/>
      <c r="Z786" s="5"/>
      <c r="AA786" s="5"/>
      <c r="AB786" s="5"/>
    </row>
    <row r="787" spans="1:28">
      <c r="A787" s="5"/>
      <c r="B787" s="168"/>
      <c r="C787" s="169"/>
      <c r="D787" s="5"/>
      <c r="E787" s="5"/>
      <c r="F787" s="5"/>
      <c r="G787" s="5"/>
      <c r="H787" s="5"/>
      <c r="I787" s="5"/>
      <c r="J787" s="5"/>
      <c r="K787" s="134"/>
      <c r="L787" s="5"/>
      <c r="M787" s="5"/>
      <c r="N787" s="5"/>
      <c r="O787" s="5"/>
      <c r="P787" s="5"/>
      <c r="Q787" s="5"/>
      <c r="R787" s="168"/>
      <c r="S787" s="168"/>
      <c r="T787" s="168"/>
      <c r="U787" s="169"/>
      <c r="V787" s="180"/>
      <c r="W787" s="172"/>
      <c r="X787" s="174"/>
      <c r="Y787" s="5"/>
      <c r="Z787" s="5"/>
      <c r="AA787" s="5"/>
      <c r="AB787" s="5"/>
    </row>
    <row r="788" spans="1:28">
      <c r="A788" s="5"/>
      <c r="B788" s="168"/>
      <c r="C788" s="169"/>
      <c r="D788" s="5"/>
      <c r="E788" s="5"/>
      <c r="F788" s="5"/>
      <c r="G788" s="5"/>
      <c r="H788" s="5"/>
      <c r="I788" s="5"/>
      <c r="J788" s="5"/>
      <c r="K788" s="134"/>
      <c r="L788" s="5"/>
      <c r="M788" s="5"/>
      <c r="N788" s="5"/>
      <c r="O788" s="5"/>
      <c r="P788" s="5"/>
      <c r="Q788" s="5"/>
      <c r="R788" s="168"/>
      <c r="S788" s="168"/>
      <c r="T788" s="168"/>
      <c r="U788" s="169"/>
      <c r="V788" s="180"/>
      <c r="W788" s="172"/>
      <c r="X788" s="174"/>
      <c r="Y788" s="5"/>
      <c r="Z788" s="5"/>
      <c r="AA788" s="5"/>
      <c r="AB788" s="5"/>
    </row>
    <row r="789" spans="1:28">
      <c r="A789" s="5"/>
      <c r="B789" s="168"/>
      <c r="C789" s="169"/>
      <c r="D789" s="5"/>
      <c r="E789" s="5"/>
      <c r="F789" s="5"/>
      <c r="G789" s="5"/>
      <c r="H789" s="5"/>
      <c r="I789" s="5"/>
      <c r="J789" s="5"/>
      <c r="K789" s="134"/>
      <c r="L789" s="5"/>
      <c r="M789" s="5"/>
      <c r="N789" s="5"/>
      <c r="O789" s="5"/>
      <c r="P789" s="5"/>
      <c r="Q789" s="5"/>
      <c r="R789" s="168"/>
      <c r="S789" s="168"/>
      <c r="T789" s="168"/>
      <c r="U789" s="169"/>
      <c r="V789" s="180"/>
      <c r="W789" s="172"/>
      <c r="X789" s="174"/>
      <c r="Y789" s="5"/>
      <c r="Z789" s="5"/>
      <c r="AA789" s="5"/>
      <c r="AB789" s="5"/>
    </row>
    <row r="790" spans="1:28">
      <c r="A790" s="5"/>
      <c r="B790" s="168"/>
      <c r="C790" s="169"/>
      <c r="D790" s="5"/>
      <c r="E790" s="5"/>
      <c r="F790" s="5"/>
      <c r="G790" s="5"/>
      <c r="H790" s="5"/>
      <c r="I790" s="5"/>
      <c r="J790" s="5"/>
      <c r="K790" s="134"/>
      <c r="L790" s="5"/>
      <c r="M790" s="5"/>
      <c r="N790" s="5"/>
      <c r="O790" s="5"/>
      <c r="P790" s="5"/>
      <c r="Q790" s="5"/>
      <c r="R790" s="168"/>
      <c r="S790" s="168"/>
      <c r="T790" s="168"/>
      <c r="U790" s="169"/>
      <c r="V790" s="180"/>
      <c r="W790" s="172"/>
      <c r="X790" s="174"/>
      <c r="Y790" s="5"/>
      <c r="Z790" s="5"/>
      <c r="AA790" s="5"/>
      <c r="AB790" s="5"/>
    </row>
    <row r="791" spans="1:28">
      <c r="A791" s="5"/>
      <c r="B791" s="168"/>
      <c r="C791" s="169"/>
      <c r="D791" s="5"/>
      <c r="E791" s="5"/>
      <c r="F791" s="5"/>
      <c r="G791" s="5"/>
      <c r="H791" s="5"/>
      <c r="I791" s="5"/>
      <c r="J791" s="5"/>
      <c r="K791" s="134"/>
      <c r="L791" s="5"/>
      <c r="M791" s="5"/>
      <c r="N791" s="5"/>
      <c r="O791" s="5"/>
      <c r="P791" s="5"/>
      <c r="Q791" s="5"/>
      <c r="R791" s="168"/>
      <c r="S791" s="168"/>
      <c r="T791" s="168"/>
      <c r="U791" s="169"/>
      <c r="V791" s="180"/>
      <c r="W791" s="172"/>
      <c r="X791" s="174"/>
      <c r="Y791" s="5"/>
      <c r="Z791" s="5"/>
      <c r="AA791" s="5"/>
      <c r="AB791" s="5"/>
    </row>
    <row r="792" spans="1:28">
      <c r="A792" s="5"/>
      <c r="B792" s="168"/>
      <c r="C792" s="169"/>
      <c r="D792" s="5"/>
      <c r="E792" s="5"/>
      <c r="F792" s="5"/>
      <c r="G792" s="5"/>
      <c r="H792" s="5"/>
      <c r="I792" s="5"/>
      <c r="J792" s="5"/>
      <c r="K792" s="134"/>
      <c r="L792" s="5"/>
      <c r="M792" s="5"/>
      <c r="N792" s="5"/>
      <c r="O792" s="5"/>
      <c r="P792" s="5"/>
      <c r="Q792" s="5"/>
      <c r="R792" s="168"/>
      <c r="S792" s="168"/>
      <c r="T792" s="168"/>
      <c r="U792" s="169"/>
      <c r="V792" s="180"/>
      <c r="W792" s="172"/>
      <c r="X792" s="174"/>
      <c r="Y792" s="5"/>
      <c r="Z792" s="5"/>
      <c r="AA792" s="5"/>
      <c r="AB792" s="5"/>
    </row>
    <row r="793" spans="1:28">
      <c r="A793" s="5"/>
      <c r="B793" s="168"/>
      <c r="C793" s="169"/>
      <c r="D793" s="5"/>
      <c r="E793" s="5"/>
      <c r="F793" s="5"/>
      <c r="G793" s="5"/>
      <c r="H793" s="5"/>
      <c r="I793" s="5"/>
      <c r="J793" s="5"/>
      <c r="K793" s="134"/>
      <c r="L793" s="5"/>
      <c r="M793" s="5"/>
      <c r="N793" s="5"/>
      <c r="O793" s="5"/>
      <c r="P793" s="5"/>
      <c r="Q793" s="5"/>
      <c r="R793" s="168"/>
      <c r="S793" s="168"/>
      <c r="T793" s="168"/>
      <c r="U793" s="169"/>
      <c r="V793" s="180"/>
      <c r="W793" s="172"/>
      <c r="X793" s="174"/>
      <c r="Y793" s="5"/>
      <c r="Z793" s="5"/>
      <c r="AA793" s="5"/>
      <c r="AB793" s="5"/>
    </row>
    <row r="794" spans="1:28">
      <c r="A794" s="5"/>
      <c r="B794" s="168"/>
      <c r="C794" s="169"/>
      <c r="D794" s="5"/>
      <c r="E794" s="5"/>
      <c r="F794" s="5"/>
      <c r="G794" s="5"/>
      <c r="H794" s="5"/>
      <c r="I794" s="5"/>
      <c r="J794" s="5"/>
      <c r="K794" s="134"/>
      <c r="L794" s="5"/>
      <c r="M794" s="5"/>
      <c r="N794" s="5"/>
      <c r="O794" s="5"/>
      <c r="P794" s="5"/>
      <c r="Q794" s="5"/>
      <c r="R794" s="168"/>
      <c r="S794" s="168"/>
      <c r="T794" s="168"/>
      <c r="U794" s="169"/>
      <c r="V794" s="180"/>
      <c r="W794" s="172"/>
      <c r="X794" s="174"/>
      <c r="Y794" s="5"/>
      <c r="Z794" s="5"/>
      <c r="AA794" s="5"/>
      <c r="AB794" s="5"/>
    </row>
    <row r="795" spans="1:28">
      <c r="A795" s="5"/>
      <c r="B795" s="168"/>
      <c r="C795" s="169"/>
      <c r="D795" s="5"/>
      <c r="E795" s="5"/>
      <c r="F795" s="5"/>
      <c r="G795" s="5"/>
      <c r="H795" s="5"/>
      <c r="I795" s="5"/>
      <c r="J795" s="5"/>
      <c r="K795" s="134"/>
      <c r="L795" s="5"/>
      <c r="M795" s="5"/>
      <c r="N795" s="5"/>
      <c r="O795" s="5"/>
      <c r="P795" s="5"/>
      <c r="Q795" s="5"/>
      <c r="R795" s="168"/>
      <c r="S795" s="168"/>
      <c r="T795" s="168"/>
      <c r="U795" s="169"/>
      <c r="V795" s="180"/>
      <c r="W795" s="172"/>
      <c r="X795" s="174"/>
      <c r="Y795" s="5"/>
      <c r="Z795" s="5"/>
      <c r="AA795" s="5"/>
      <c r="AB795" s="5"/>
    </row>
    <row r="796" spans="1:28">
      <c r="A796" s="5"/>
      <c r="B796" s="168"/>
      <c r="C796" s="169"/>
      <c r="D796" s="5"/>
      <c r="E796" s="5"/>
      <c r="F796" s="5"/>
      <c r="G796" s="5"/>
      <c r="H796" s="5"/>
      <c r="I796" s="5"/>
      <c r="J796" s="5"/>
      <c r="K796" s="134"/>
      <c r="L796" s="5"/>
      <c r="M796" s="5"/>
      <c r="N796" s="5"/>
      <c r="O796" s="5"/>
      <c r="P796" s="5"/>
      <c r="Q796" s="5"/>
      <c r="R796" s="168"/>
      <c r="S796" s="168"/>
      <c r="T796" s="168"/>
      <c r="U796" s="169"/>
      <c r="V796" s="180"/>
      <c r="W796" s="172"/>
      <c r="X796" s="174"/>
      <c r="Y796" s="5"/>
      <c r="Z796" s="5"/>
      <c r="AA796" s="5"/>
      <c r="AB796" s="5"/>
    </row>
    <row r="797" spans="1:28">
      <c r="A797" s="5"/>
      <c r="B797" s="168"/>
      <c r="C797" s="169"/>
      <c r="D797" s="5"/>
      <c r="E797" s="5"/>
      <c r="F797" s="5"/>
      <c r="G797" s="5"/>
      <c r="H797" s="5"/>
      <c r="I797" s="5"/>
      <c r="J797" s="5"/>
      <c r="K797" s="134"/>
      <c r="L797" s="5"/>
      <c r="M797" s="5"/>
      <c r="N797" s="5"/>
      <c r="O797" s="5"/>
      <c r="P797" s="5"/>
      <c r="Q797" s="5"/>
      <c r="R797" s="168"/>
      <c r="S797" s="168"/>
      <c r="T797" s="168"/>
      <c r="U797" s="169"/>
      <c r="V797" s="180"/>
      <c r="W797" s="172"/>
      <c r="X797" s="174"/>
      <c r="Y797" s="5"/>
      <c r="Z797" s="5"/>
      <c r="AA797" s="5"/>
      <c r="AB797" s="5"/>
    </row>
    <row r="798" spans="1:28">
      <c r="A798" s="5"/>
      <c r="B798" s="168"/>
      <c r="C798" s="169"/>
      <c r="D798" s="5"/>
      <c r="E798" s="5"/>
      <c r="F798" s="5"/>
      <c r="G798" s="5"/>
      <c r="H798" s="5"/>
      <c r="I798" s="5"/>
      <c r="J798" s="5"/>
      <c r="K798" s="134"/>
      <c r="L798" s="5"/>
      <c r="M798" s="5"/>
      <c r="N798" s="5"/>
      <c r="O798" s="5"/>
      <c r="P798" s="5"/>
      <c r="Q798" s="5"/>
      <c r="R798" s="168"/>
      <c r="S798" s="168"/>
      <c r="T798" s="168"/>
      <c r="U798" s="169"/>
      <c r="V798" s="180"/>
      <c r="W798" s="172"/>
      <c r="X798" s="174"/>
      <c r="Y798" s="5"/>
      <c r="Z798" s="5"/>
      <c r="AA798" s="5"/>
      <c r="AB798" s="5"/>
    </row>
    <row r="799" spans="1:28">
      <c r="A799" s="5"/>
      <c r="B799" s="168"/>
      <c r="C799" s="169"/>
      <c r="D799" s="5"/>
      <c r="E799" s="5"/>
      <c r="F799" s="5"/>
      <c r="G799" s="5"/>
      <c r="H799" s="5"/>
      <c r="I799" s="5"/>
      <c r="J799" s="5"/>
      <c r="K799" s="134"/>
      <c r="L799" s="5"/>
      <c r="M799" s="5"/>
      <c r="N799" s="5"/>
      <c r="O799" s="5"/>
      <c r="P799" s="5"/>
      <c r="Q799" s="5"/>
      <c r="R799" s="168"/>
      <c r="S799" s="168"/>
      <c r="T799" s="168"/>
      <c r="U799" s="169"/>
      <c r="V799" s="180"/>
      <c r="W799" s="172"/>
      <c r="X799" s="174"/>
      <c r="Y799" s="5"/>
      <c r="Z799" s="5"/>
      <c r="AA799" s="5"/>
      <c r="AB799" s="5"/>
    </row>
    <row r="800" spans="1:28">
      <c r="A800" s="5"/>
      <c r="B800" s="168"/>
      <c r="C800" s="169"/>
      <c r="D800" s="5"/>
      <c r="E800" s="5"/>
      <c r="F800" s="5"/>
      <c r="G800" s="5"/>
      <c r="H800" s="5"/>
      <c r="I800" s="5"/>
      <c r="J800" s="5"/>
      <c r="K800" s="134"/>
      <c r="L800" s="5"/>
      <c r="M800" s="5"/>
      <c r="N800" s="5"/>
      <c r="O800" s="5"/>
      <c r="P800" s="5"/>
      <c r="Q800" s="5"/>
      <c r="R800" s="168"/>
      <c r="S800" s="168"/>
      <c r="T800" s="168"/>
      <c r="U800" s="169"/>
      <c r="V800" s="180"/>
      <c r="W800" s="172"/>
      <c r="X800" s="174"/>
      <c r="Y800" s="5"/>
      <c r="Z800" s="5"/>
      <c r="AA800" s="5"/>
      <c r="AB800" s="5"/>
    </row>
  </sheetData>
  <hyperlinks>
    <hyperlink ref="F2" r:id="rId1" xr:uid="{00000000-0004-0000-0500-000000000000}"/>
    <hyperlink ref="F3" r:id="rId2" xr:uid="{00000000-0004-0000-0500-000001000000}"/>
    <hyperlink ref="F4" r:id="rId3" xr:uid="{00000000-0004-0000-0500-000002000000}"/>
    <hyperlink ref="F5" r:id="rId4" xr:uid="{00000000-0004-0000-0500-000003000000}"/>
    <hyperlink ref="F6" r:id="rId5" xr:uid="{00000000-0004-0000-0500-000004000000}"/>
    <hyperlink ref="F7" r:id="rId6" xr:uid="{00000000-0004-0000-0500-000005000000}"/>
    <hyperlink ref="F8" r:id="rId7" xr:uid="{00000000-0004-0000-0500-000006000000}"/>
    <hyperlink ref="F9" r:id="rId8" xr:uid="{00000000-0004-0000-0500-000007000000}"/>
    <hyperlink ref="F10" r:id="rId9" xr:uid="{00000000-0004-0000-0500-000008000000}"/>
    <hyperlink ref="F11" r:id="rId10" xr:uid="{00000000-0004-0000-0500-000009000000}"/>
    <hyperlink ref="F12" r:id="rId11" xr:uid="{00000000-0004-0000-0500-00000A000000}"/>
    <hyperlink ref="F13" r:id="rId12" xr:uid="{00000000-0004-0000-0500-00000B000000}"/>
    <hyperlink ref="F14" r:id="rId13" xr:uid="{00000000-0004-0000-0500-00000C000000}"/>
    <hyperlink ref="F15" r:id="rId14" xr:uid="{00000000-0004-0000-0500-00000D000000}"/>
    <hyperlink ref="F16" r:id="rId15" xr:uid="{00000000-0004-0000-0500-00000E000000}"/>
    <hyperlink ref="F17" r:id="rId16" xr:uid="{00000000-0004-0000-0500-00000F000000}"/>
    <hyperlink ref="F18" r:id="rId17" xr:uid="{00000000-0004-0000-0500-000010000000}"/>
    <hyperlink ref="F19" r:id="rId18" xr:uid="{00000000-0004-0000-0500-000011000000}"/>
    <hyperlink ref="F20" r:id="rId19" xr:uid="{00000000-0004-0000-0500-000012000000}"/>
    <hyperlink ref="F21" r:id="rId20" xr:uid="{00000000-0004-0000-0500-000013000000}"/>
    <hyperlink ref="F22" r:id="rId21" xr:uid="{00000000-0004-0000-0500-000014000000}"/>
    <hyperlink ref="F23" r:id="rId22" xr:uid="{00000000-0004-0000-0500-000015000000}"/>
    <hyperlink ref="F24" r:id="rId23" xr:uid="{00000000-0004-0000-0500-000016000000}"/>
    <hyperlink ref="F25" r:id="rId24" xr:uid="{00000000-0004-0000-0500-000017000000}"/>
    <hyperlink ref="F26" r:id="rId25" xr:uid="{00000000-0004-0000-0500-000018000000}"/>
    <hyperlink ref="F27" r:id="rId26" xr:uid="{00000000-0004-0000-0500-000019000000}"/>
    <hyperlink ref="F28" r:id="rId27" xr:uid="{00000000-0004-0000-0500-00001A000000}"/>
    <hyperlink ref="F29" r:id="rId28" xr:uid="{00000000-0004-0000-0500-00001B000000}"/>
    <hyperlink ref="F30" r:id="rId29" xr:uid="{00000000-0004-0000-0500-00001C000000}"/>
    <hyperlink ref="F31" r:id="rId30" xr:uid="{00000000-0004-0000-0500-00001D000000}"/>
    <hyperlink ref="F32" r:id="rId31" xr:uid="{00000000-0004-0000-0500-00001E000000}"/>
    <hyperlink ref="F33" r:id="rId32" xr:uid="{00000000-0004-0000-0500-00001F000000}"/>
    <hyperlink ref="F34" r:id="rId33" xr:uid="{00000000-0004-0000-0500-000020000000}"/>
    <hyperlink ref="F35" r:id="rId34" xr:uid="{00000000-0004-0000-0500-000021000000}"/>
    <hyperlink ref="F36" r:id="rId35" xr:uid="{00000000-0004-0000-0500-000022000000}"/>
    <hyperlink ref="F37" r:id="rId36" xr:uid="{00000000-0004-0000-0500-000023000000}"/>
    <hyperlink ref="F38" r:id="rId37" xr:uid="{00000000-0004-0000-0500-000024000000}"/>
    <hyperlink ref="F39" r:id="rId38" xr:uid="{00000000-0004-0000-0500-000025000000}"/>
    <hyperlink ref="F40" r:id="rId39" xr:uid="{00000000-0004-0000-0500-000026000000}"/>
    <hyperlink ref="F41" r:id="rId40" xr:uid="{00000000-0004-0000-0500-000027000000}"/>
    <hyperlink ref="F42" r:id="rId41" xr:uid="{00000000-0004-0000-0500-000028000000}"/>
    <hyperlink ref="F43" r:id="rId42" xr:uid="{00000000-0004-0000-0500-000029000000}"/>
    <hyperlink ref="F44" r:id="rId43" xr:uid="{00000000-0004-0000-0500-00002A000000}"/>
    <hyperlink ref="F45" r:id="rId44" xr:uid="{00000000-0004-0000-0500-00002B000000}"/>
    <hyperlink ref="F46" r:id="rId45" xr:uid="{00000000-0004-0000-0500-00002C000000}"/>
    <hyperlink ref="F47" r:id="rId46" xr:uid="{00000000-0004-0000-0500-00002D000000}"/>
    <hyperlink ref="F48" r:id="rId47" xr:uid="{00000000-0004-0000-0500-00002E000000}"/>
    <hyperlink ref="F49" r:id="rId48" xr:uid="{00000000-0004-0000-0500-00002F000000}"/>
    <hyperlink ref="F50" r:id="rId49" xr:uid="{00000000-0004-0000-0500-000030000000}"/>
    <hyperlink ref="F51" r:id="rId50" xr:uid="{00000000-0004-0000-0500-000031000000}"/>
    <hyperlink ref="F52" r:id="rId51" xr:uid="{00000000-0004-0000-0500-000032000000}"/>
    <hyperlink ref="F53" r:id="rId52" xr:uid="{00000000-0004-0000-0500-000033000000}"/>
    <hyperlink ref="F54" r:id="rId53" xr:uid="{00000000-0004-0000-0500-000034000000}"/>
    <hyperlink ref="F55" r:id="rId54" xr:uid="{00000000-0004-0000-0500-000035000000}"/>
    <hyperlink ref="F56" r:id="rId55" xr:uid="{00000000-0004-0000-0500-000036000000}"/>
    <hyperlink ref="F57" r:id="rId56" xr:uid="{00000000-0004-0000-0500-000037000000}"/>
    <hyperlink ref="F58" r:id="rId57" xr:uid="{00000000-0004-0000-0500-000038000000}"/>
    <hyperlink ref="F59" r:id="rId58" xr:uid="{00000000-0004-0000-0500-000039000000}"/>
    <hyperlink ref="F60" r:id="rId59" xr:uid="{00000000-0004-0000-0500-00003A000000}"/>
    <hyperlink ref="F61" r:id="rId60" xr:uid="{00000000-0004-0000-0500-00003B000000}"/>
    <hyperlink ref="F62" r:id="rId61" xr:uid="{00000000-0004-0000-0500-00003C000000}"/>
    <hyperlink ref="F63" r:id="rId62" xr:uid="{00000000-0004-0000-0500-00003D000000}"/>
    <hyperlink ref="F64" r:id="rId63" xr:uid="{00000000-0004-0000-0500-00003E000000}"/>
    <hyperlink ref="F65" r:id="rId64" xr:uid="{00000000-0004-0000-0500-00003F000000}"/>
    <hyperlink ref="F66" r:id="rId65" xr:uid="{00000000-0004-0000-0500-000040000000}"/>
    <hyperlink ref="F67" r:id="rId66" xr:uid="{00000000-0004-0000-0500-000041000000}"/>
    <hyperlink ref="F68" r:id="rId67" xr:uid="{00000000-0004-0000-0500-000042000000}"/>
    <hyperlink ref="F69" r:id="rId68" xr:uid="{00000000-0004-0000-0500-000043000000}"/>
    <hyperlink ref="F70" r:id="rId69" xr:uid="{00000000-0004-0000-0500-000044000000}"/>
    <hyperlink ref="F71" r:id="rId70" xr:uid="{00000000-0004-0000-0500-000045000000}"/>
    <hyperlink ref="F72" r:id="rId71" xr:uid="{00000000-0004-0000-0500-000046000000}"/>
    <hyperlink ref="F73" r:id="rId72" xr:uid="{00000000-0004-0000-0500-000047000000}"/>
    <hyperlink ref="F74" r:id="rId73" xr:uid="{00000000-0004-0000-0500-000048000000}"/>
    <hyperlink ref="F75" r:id="rId74" xr:uid="{00000000-0004-0000-0500-000049000000}"/>
    <hyperlink ref="F76" r:id="rId75" xr:uid="{00000000-0004-0000-0500-00004A000000}"/>
    <hyperlink ref="F77" r:id="rId76" xr:uid="{00000000-0004-0000-0500-00004B000000}"/>
    <hyperlink ref="F78" r:id="rId77" xr:uid="{00000000-0004-0000-0500-00004C000000}"/>
    <hyperlink ref="F79" r:id="rId78" xr:uid="{00000000-0004-0000-0500-00004D000000}"/>
    <hyperlink ref="F80" r:id="rId79" xr:uid="{00000000-0004-0000-0500-00004E000000}"/>
    <hyperlink ref="F81" r:id="rId80" xr:uid="{00000000-0004-0000-0500-00004F000000}"/>
    <hyperlink ref="F82" r:id="rId81" xr:uid="{00000000-0004-0000-0500-000050000000}"/>
    <hyperlink ref="F83" r:id="rId82" xr:uid="{00000000-0004-0000-0500-000051000000}"/>
    <hyperlink ref="F84" r:id="rId83" xr:uid="{00000000-0004-0000-0500-000052000000}"/>
    <hyperlink ref="F85" r:id="rId84" xr:uid="{00000000-0004-0000-0500-000053000000}"/>
    <hyperlink ref="F86" r:id="rId85" xr:uid="{00000000-0004-0000-0500-000054000000}"/>
    <hyperlink ref="F87" r:id="rId86" xr:uid="{00000000-0004-0000-0500-000055000000}"/>
    <hyperlink ref="F88" r:id="rId87" xr:uid="{00000000-0004-0000-0500-000056000000}"/>
    <hyperlink ref="F89" r:id="rId88" xr:uid="{00000000-0004-0000-0500-000057000000}"/>
    <hyperlink ref="F90" r:id="rId89" xr:uid="{00000000-0004-0000-0500-000058000000}"/>
    <hyperlink ref="F91" r:id="rId90" xr:uid="{00000000-0004-0000-0500-000059000000}"/>
    <hyperlink ref="F92" r:id="rId91" xr:uid="{00000000-0004-0000-0500-00005A000000}"/>
    <hyperlink ref="F93" r:id="rId92" xr:uid="{00000000-0004-0000-0500-00005B000000}"/>
    <hyperlink ref="F94" r:id="rId93" xr:uid="{00000000-0004-0000-0500-00005C000000}"/>
    <hyperlink ref="F95" r:id="rId94" xr:uid="{00000000-0004-0000-0500-00005D000000}"/>
    <hyperlink ref="F96" r:id="rId95" xr:uid="{00000000-0004-0000-0500-00005E000000}"/>
    <hyperlink ref="F97" r:id="rId96" xr:uid="{00000000-0004-0000-0500-00005F000000}"/>
    <hyperlink ref="F98" r:id="rId97" xr:uid="{00000000-0004-0000-0500-000060000000}"/>
    <hyperlink ref="F99" r:id="rId98" xr:uid="{00000000-0004-0000-0500-000061000000}"/>
    <hyperlink ref="F100" r:id="rId99" xr:uid="{00000000-0004-0000-0500-000062000000}"/>
    <hyperlink ref="F101" r:id="rId100" xr:uid="{00000000-0004-0000-0500-000063000000}"/>
    <hyperlink ref="F102" r:id="rId101" xr:uid="{00000000-0004-0000-0500-000064000000}"/>
    <hyperlink ref="F103" r:id="rId102" xr:uid="{00000000-0004-0000-0500-000065000000}"/>
    <hyperlink ref="F104" r:id="rId103" xr:uid="{00000000-0004-0000-0500-000066000000}"/>
    <hyperlink ref="F105" r:id="rId104" xr:uid="{00000000-0004-0000-0500-000067000000}"/>
    <hyperlink ref="F106" r:id="rId105" xr:uid="{00000000-0004-0000-0500-000068000000}"/>
    <hyperlink ref="F107" r:id="rId106" xr:uid="{00000000-0004-0000-0500-000069000000}"/>
    <hyperlink ref="F108" r:id="rId107" xr:uid="{00000000-0004-0000-0500-00006A000000}"/>
    <hyperlink ref="F109" r:id="rId108" xr:uid="{00000000-0004-0000-0500-00006B000000}"/>
    <hyperlink ref="F110" r:id="rId109" xr:uid="{00000000-0004-0000-0500-00006C000000}"/>
    <hyperlink ref="F111" r:id="rId110" xr:uid="{00000000-0004-0000-0500-00006D000000}"/>
    <hyperlink ref="F112" r:id="rId111" xr:uid="{00000000-0004-0000-0500-00006E000000}"/>
    <hyperlink ref="F113" r:id="rId112" xr:uid="{00000000-0004-0000-0500-00006F000000}"/>
    <hyperlink ref="F114" r:id="rId113" xr:uid="{00000000-0004-0000-0500-000070000000}"/>
    <hyperlink ref="F115" r:id="rId114" xr:uid="{00000000-0004-0000-0500-000071000000}"/>
    <hyperlink ref="F116" r:id="rId115" xr:uid="{00000000-0004-0000-0500-000072000000}"/>
    <hyperlink ref="F117" r:id="rId116" xr:uid="{00000000-0004-0000-0500-000073000000}"/>
    <hyperlink ref="F118" r:id="rId117" xr:uid="{00000000-0004-0000-0500-000074000000}"/>
    <hyperlink ref="F119" r:id="rId118" xr:uid="{00000000-0004-0000-0500-000075000000}"/>
    <hyperlink ref="F120" r:id="rId119" xr:uid="{00000000-0004-0000-0500-000076000000}"/>
    <hyperlink ref="F121" r:id="rId120" xr:uid="{00000000-0004-0000-0500-000077000000}"/>
    <hyperlink ref="F122" r:id="rId121" xr:uid="{00000000-0004-0000-0500-000078000000}"/>
    <hyperlink ref="F123" r:id="rId122" xr:uid="{00000000-0004-0000-0500-000079000000}"/>
    <hyperlink ref="F124" r:id="rId123" xr:uid="{00000000-0004-0000-0500-00007A000000}"/>
    <hyperlink ref="F125" r:id="rId124" xr:uid="{00000000-0004-0000-0500-00007B000000}"/>
    <hyperlink ref="F126" r:id="rId125" xr:uid="{00000000-0004-0000-0500-00007C000000}"/>
    <hyperlink ref="F127" r:id="rId126" xr:uid="{00000000-0004-0000-0500-00007D000000}"/>
    <hyperlink ref="F128" r:id="rId127" xr:uid="{00000000-0004-0000-0500-00007E000000}"/>
    <hyperlink ref="F129" r:id="rId128" xr:uid="{00000000-0004-0000-0500-00007F000000}"/>
    <hyperlink ref="F130" r:id="rId129" xr:uid="{00000000-0004-0000-0500-000080000000}"/>
    <hyperlink ref="F131" r:id="rId130" xr:uid="{00000000-0004-0000-0500-000081000000}"/>
    <hyperlink ref="F132" r:id="rId131" xr:uid="{00000000-0004-0000-0500-000082000000}"/>
    <hyperlink ref="F133" r:id="rId132" xr:uid="{00000000-0004-0000-0500-000083000000}"/>
    <hyperlink ref="F134" r:id="rId133" xr:uid="{00000000-0004-0000-0500-000084000000}"/>
    <hyperlink ref="F135" r:id="rId134" xr:uid="{00000000-0004-0000-0500-000085000000}"/>
    <hyperlink ref="F136" r:id="rId135" xr:uid="{00000000-0004-0000-0500-000086000000}"/>
    <hyperlink ref="F137" r:id="rId136" xr:uid="{00000000-0004-0000-0500-000087000000}"/>
    <hyperlink ref="F138" r:id="rId137" xr:uid="{00000000-0004-0000-0500-000088000000}"/>
    <hyperlink ref="F139" r:id="rId138" xr:uid="{00000000-0004-0000-0500-000089000000}"/>
    <hyperlink ref="F140" r:id="rId139" xr:uid="{00000000-0004-0000-0500-00008A000000}"/>
    <hyperlink ref="F141" r:id="rId140" xr:uid="{00000000-0004-0000-0500-00008B000000}"/>
    <hyperlink ref="F142" r:id="rId141" xr:uid="{00000000-0004-0000-0500-00008C000000}"/>
    <hyperlink ref="F143" r:id="rId142" xr:uid="{00000000-0004-0000-0500-00008D000000}"/>
    <hyperlink ref="F144" r:id="rId143" xr:uid="{00000000-0004-0000-0500-00008E000000}"/>
    <hyperlink ref="F145" r:id="rId144" xr:uid="{00000000-0004-0000-0500-00008F000000}"/>
    <hyperlink ref="F146" r:id="rId145" xr:uid="{00000000-0004-0000-0500-000090000000}"/>
    <hyperlink ref="F147" r:id="rId146" xr:uid="{00000000-0004-0000-0500-000091000000}"/>
    <hyperlink ref="F148" r:id="rId147" xr:uid="{00000000-0004-0000-0500-000092000000}"/>
    <hyperlink ref="F149" r:id="rId148" xr:uid="{00000000-0004-0000-0500-000093000000}"/>
    <hyperlink ref="F150" r:id="rId149" xr:uid="{00000000-0004-0000-0500-000094000000}"/>
    <hyperlink ref="F151" r:id="rId150" xr:uid="{00000000-0004-0000-0500-000095000000}"/>
    <hyperlink ref="F152" r:id="rId151" xr:uid="{00000000-0004-0000-0500-000096000000}"/>
    <hyperlink ref="F153" r:id="rId152" xr:uid="{00000000-0004-0000-0500-000097000000}"/>
    <hyperlink ref="F154" r:id="rId153" xr:uid="{00000000-0004-0000-0500-000098000000}"/>
    <hyperlink ref="F155" r:id="rId154" xr:uid="{00000000-0004-0000-0500-000099000000}"/>
    <hyperlink ref="F156" r:id="rId155" xr:uid="{00000000-0004-0000-0500-00009A000000}"/>
    <hyperlink ref="F157" r:id="rId156" xr:uid="{00000000-0004-0000-0500-00009B000000}"/>
    <hyperlink ref="F158" r:id="rId157" xr:uid="{00000000-0004-0000-0500-00009C000000}"/>
    <hyperlink ref="F159" r:id="rId158" xr:uid="{00000000-0004-0000-0500-00009D000000}"/>
    <hyperlink ref="F160" r:id="rId159" xr:uid="{00000000-0004-0000-0500-00009E000000}"/>
    <hyperlink ref="F161" r:id="rId160" xr:uid="{00000000-0004-0000-0500-00009F000000}"/>
    <hyperlink ref="F162" r:id="rId161" xr:uid="{00000000-0004-0000-0500-0000A0000000}"/>
    <hyperlink ref="F163" r:id="rId162" xr:uid="{00000000-0004-0000-0500-0000A1000000}"/>
    <hyperlink ref="F164" r:id="rId163" xr:uid="{00000000-0004-0000-0500-0000A2000000}"/>
    <hyperlink ref="F165" r:id="rId164" xr:uid="{00000000-0004-0000-0500-0000A3000000}"/>
    <hyperlink ref="F166" r:id="rId165" xr:uid="{00000000-0004-0000-0500-0000A4000000}"/>
    <hyperlink ref="F167" r:id="rId166" xr:uid="{00000000-0004-0000-0500-0000A5000000}"/>
    <hyperlink ref="F168" r:id="rId167" xr:uid="{00000000-0004-0000-0500-0000A6000000}"/>
    <hyperlink ref="F169" r:id="rId168" xr:uid="{00000000-0004-0000-0500-0000A7000000}"/>
    <hyperlink ref="F170" r:id="rId169" xr:uid="{00000000-0004-0000-0500-0000A8000000}"/>
    <hyperlink ref="F171" r:id="rId170" xr:uid="{00000000-0004-0000-0500-0000A9000000}"/>
    <hyperlink ref="F172" r:id="rId171" xr:uid="{00000000-0004-0000-0500-0000AA000000}"/>
    <hyperlink ref="F173" r:id="rId172" xr:uid="{00000000-0004-0000-0500-0000AB000000}"/>
    <hyperlink ref="F174" r:id="rId173" xr:uid="{00000000-0004-0000-0500-0000AC000000}"/>
    <hyperlink ref="F175" r:id="rId174" xr:uid="{00000000-0004-0000-0500-0000AD000000}"/>
    <hyperlink ref="F176" r:id="rId175" xr:uid="{00000000-0004-0000-0500-0000AE000000}"/>
    <hyperlink ref="F177" r:id="rId176" xr:uid="{00000000-0004-0000-0500-0000AF000000}"/>
    <hyperlink ref="F178" r:id="rId177" xr:uid="{00000000-0004-0000-0500-0000B0000000}"/>
    <hyperlink ref="F179" r:id="rId178" xr:uid="{00000000-0004-0000-0500-0000B1000000}"/>
    <hyperlink ref="F180" r:id="rId179" xr:uid="{00000000-0004-0000-0500-0000B2000000}"/>
    <hyperlink ref="F181" r:id="rId180" xr:uid="{00000000-0004-0000-0500-0000B3000000}"/>
    <hyperlink ref="F182" r:id="rId181" xr:uid="{00000000-0004-0000-0500-0000B4000000}"/>
    <hyperlink ref="F183" r:id="rId182" xr:uid="{00000000-0004-0000-0500-0000B5000000}"/>
    <hyperlink ref="F184" r:id="rId183" xr:uid="{00000000-0004-0000-0500-0000B6000000}"/>
    <hyperlink ref="F185" r:id="rId184" xr:uid="{00000000-0004-0000-0500-0000B7000000}"/>
    <hyperlink ref="F186" r:id="rId185" xr:uid="{00000000-0004-0000-0500-0000B8000000}"/>
    <hyperlink ref="F187" r:id="rId186" xr:uid="{00000000-0004-0000-0500-0000B9000000}"/>
    <hyperlink ref="F188" r:id="rId187" xr:uid="{00000000-0004-0000-0500-0000BA000000}"/>
    <hyperlink ref="F189" r:id="rId188" xr:uid="{00000000-0004-0000-0500-0000BB000000}"/>
    <hyperlink ref="F190" r:id="rId189" xr:uid="{00000000-0004-0000-0500-0000BC000000}"/>
    <hyperlink ref="F191" r:id="rId190" xr:uid="{00000000-0004-0000-0500-0000BD000000}"/>
    <hyperlink ref="F192" r:id="rId191" xr:uid="{00000000-0004-0000-0500-0000BE000000}"/>
    <hyperlink ref="F193" r:id="rId192" xr:uid="{00000000-0004-0000-0500-0000BF000000}"/>
    <hyperlink ref="F194" r:id="rId193" xr:uid="{00000000-0004-0000-0500-0000C0000000}"/>
    <hyperlink ref="F195" r:id="rId194" xr:uid="{00000000-0004-0000-0500-0000C1000000}"/>
    <hyperlink ref="F196" r:id="rId195" xr:uid="{00000000-0004-0000-0500-0000C2000000}"/>
    <hyperlink ref="F197" r:id="rId196" xr:uid="{00000000-0004-0000-0500-0000C3000000}"/>
    <hyperlink ref="F198" r:id="rId197" xr:uid="{00000000-0004-0000-0500-0000C4000000}"/>
    <hyperlink ref="F199" r:id="rId198" xr:uid="{00000000-0004-0000-0500-0000C5000000}"/>
    <hyperlink ref="F200" r:id="rId199" xr:uid="{00000000-0004-0000-0500-0000C6000000}"/>
    <hyperlink ref="F201" r:id="rId200" xr:uid="{00000000-0004-0000-0500-0000C7000000}"/>
    <hyperlink ref="F202" r:id="rId201" xr:uid="{00000000-0004-0000-0500-0000C8000000}"/>
    <hyperlink ref="F203" r:id="rId202" xr:uid="{00000000-0004-0000-0500-0000C9000000}"/>
    <hyperlink ref="F204" r:id="rId203" xr:uid="{00000000-0004-0000-0500-0000CA000000}"/>
    <hyperlink ref="F205" r:id="rId204" xr:uid="{00000000-0004-0000-0500-0000CB000000}"/>
    <hyperlink ref="F206" r:id="rId205" xr:uid="{00000000-0004-0000-0500-0000CC000000}"/>
    <hyperlink ref="F207" r:id="rId206" xr:uid="{00000000-0004-0000-0500-0000CD000000}"/>
    <hyperlink ref="F208" r:id="rId207" xr:uid="{00000000-0004-0000-0500-0000CE000000}"/>
    <hyperlink ref="F209" r:id="rId208" xr:uid="{00000000-0004-0000-0500-0000CF000000}"/>
    <hyperlink ref="F210" r:id="rId209" xr:uid="{00000000-0004-0000-0500-0000D0000000}"/>
    <hyperlink ref="F211" r:id="rId210" xr:uid="{00000000-0004-0000-0500-0000D1000000}"/>
    <hyperlink ref="F212" r:id="rId211" xr:uid="{00000000-0004-0000-0500-0000D2000000}"/>
    <hyperlink ref="F213" r:id="rId212" xr:uid="{00000000-0004-0000-0500-0000D3000000}"/>
    <hyperlink ref="F214" r:id="rId213" xr:uid="{00000000-0004-0000-0500-0000D4000000}"/>
    <hyperlink ref="F215" r:id="rId214" xr:uid="{00000000-0004-0000-0500-0000D5000000}"/>
    <hyperlink ref="F216" r:id="rId215" xr:uid="{00000000-0004-0000-0500-0000D6000000}"/>
    <hyperlink ref="F217" r:id="rId216" xr:uid="{00000000-0004-0000-0500-0000D7000000}"/>
    <hyperlink ref="F218" r:id="rId217" xr:uid="{00000000-0004-0000-0500-0000D8000000}"/>
    <hyperlink ref="F219" r:id="rId218" xr:uid="{00000000-0004-0000-0500-0000D9000000}"/>
    <hyperlink ref="F220" r:id="rId219" xr:uid="{00000000-0004-0000-0500-0000DA000000}"/>
    <hyperlink ref="F221" r:id="rId220" xr:uid="{00000000-0004-0000-0500-0000DB000000}"/>
    <hyperlink ref="F222" r:id="rId221" xr:uid="{00000000-0004-0000-0500-0000DC000000}"/>
    <hyperlink ref="F223" r:id="rId222" xr:uid="{00000000-0004-0000-0500-0000DD000000}"/>
    <hyperlink ref="F224" r:id="rId223" xr:uid="{00000000-0004-0000-0500-0000DE000000}"/>
    <hyperlink ref="F225" r:id="rId224" xr:uid="{00000000-0004-0000-0500-0000DF000000}"/>
    <hyperlink ref="F226" r:id="rId225" xr:uid="{00000000-0004-0000-0500-0000E0000000}"/>
    <hyperlink ref="F227" r:id="rId226" xr:uid="{00000000-0004-0000-0500-0000E1000000}"/>
    <hyperlink ref="F228" r:id="rId227" xr:uid="{00000000-0004-0000-0500-0000E2000000}"/>
    <hyperlink ref="F229" r:id="rId228" xr:uid="{00000000-0004-0000-0500-0000E3000000}"/>
    <hyperlink ref="F230" r:id="rId229" xr:uid="{00000000-0004-0000-0500-0000E4000000}"/>
    <hyperlink ref="F231" r:id="rId230" xr:uid="{00000000-0004-0000-0500-0000E5000000}"/>
    <hyperlink ref="F232" r:id="rId231" xr:uid="{00000000-0004-0000-0500-0000E6000000}"/>
    <hyperlink ref="F233" r:id="rId232" xr:uid="{00000000-0004-0000-0500-0000E7000000}"/>
    <hyperlink ref="F234" r:id="rId233" xr:uid="{00000000-0004-0000-0500-0000E8000000}"/>
    <hyperlink ref="F235" r:id="rId234" xr:uid="{00000000-0004-0000-0500-0000E9000000}"/>
    <hyperlink ref="F236" r:id="rId235" xr:uid="{00000000-0004-0000-0500-0000EA000000}"/>
    <hyperlink ref="F237" r:id="rId236" xr:uid="{00000000-0004-0000-0500-0000EB000000}"/>
    <hyperlink ref="F238" r:id="rId237" xr:uid="{00000000-0004-0000-0500-0000EC000000}"/>
    <hyperlink ref="F239" r:id="rId238" xr:uid="{00000000-0004-0000-0500-0000ED000000}"/>
    <hyperlink ref="F240" r:id="rId239" xr:uid="{00000000-0004-0000-0500-0000EE000000}"/>
    <hyperlink ref="F241" r:id="rId240" xr:uid="{00000000-0004-0000-0500-0000EF000000}"/>
    <hyperlink ref="F242" r:id="rId241" xr:uid="{00000000-0004-0000-0500-0000F0000000}"/>
    <hyperlink ref="F243" r:id="rId242" xr:uid="{00000000-0004-0000-0500-0000F1000000}"/>
    <hyperlink ref="F244" r:id="rId243" xr:uid="{00000000-0004-0000-0500-0000F2000000}"/>
    <hyperlink ref="F245" r:id="rId244" xr:uid="{00000000-0004-0000-0500-0000F3000000}"/>
    <hyperlink ref="F246" r:id="rId245" xr:uid="{00000000-0004-0000-0500-0000F4000000}"/>
    <hyperlink ref="F247" r:id="rId246" xr:uid="{00000000-0004-0000-0500-0000F5000000}"/>
    <hyperlink ref="F248" r:id="rId247" xr:uid="{00000000-0004-0000-0500-0000F6000000}"/>
    <hyperlink ref="F249" r:id="rId248" xr:uid="{00000000-0004-0000-0500-0000F7000000}"/>
    <hyperlink ref="F250" r:id="rId249" xr:uid="{00000000-0004-0000-0500-0000F8000000}"/>
    <hyperlink ref="F251" r:id="rId250" xr:uid="{00000000-0004-0000-0500-0000F9000000}"/>
    <hyperlink ref="F252" r:id="rId251" xr:uid="{00000000-0004-0000-0500-0000FA000000}"/>
    <hyperlink ref="F253" r:id="rId252" xr:uid="{00000000-0004-0000-0500-0000FB000000}"/>
    <hyperlink ref="F254" r:id="rId253" xr:uid="{00000000-0004-0000-0500-0000FC000000}"/>
    <hyperlink ref="F255" r:id="rId254" xr:uid="{00000000-0004-0000-0500-0000FD000000}"/>
    <hyperlink ref="F256" r:id="rId255" xr:uid="{00000000-0004-0000-0500-0000FE000000}"/>
    <hyperlink ref="F257" r:id="rId256" xr:uid="{00000000-0004-0000-0500-0000FF000000}"/>
    <hyperlink ref="F258" r:id="rId257" xr:uid="{00000000-0004-0000-0500-000000010000}"/>
    <hyperlink ref="F259" r:id="rId258" xr:uid="{00000000-0004-0000-0500-000001010000}"/>
    <hyperlink ref="F260" r:id="rId259" xr:uid="{00000000-0004-0000-0500-000002010000}"/>
    <hyperlink ref="F261" r:id="rId260" xr:uid="{00000000-0004-0000-0500-000003010000}"/>
    <hyperlink ref="F262" r:id="rId261" xr:uid="{00000000-0004-0000-0500-000004010000}"/>
    <hyperlink ref="F263" r:id="rId262" xr:uid="{00000000-0004-0000-0500-000005010000}"/>
    <hyperlink ref="F264" r:id="rId263" xr:uid="{00000000-0004-0000-0500-000006010000}"/>
    <hyperlink ref="F265" r:id="rId264" xr:uid="{00000000-0004-0000-0500-000007010000}"/>
    <hyperlink ref="F266" r:id="rId265" xr:uid="{00000000-0004-0000-0500-000008010000}"/>
    <hyperlink ref="F267" r:id="rId266" xr:uid="{00000000-0004-0000-0500-000009010000}"/>
    <hyperlink ref="F268" r:id="rId267" xr:uid="{00000000-0004-0000-0500-00000A010000}"/>
    <hyperlink ref="F269" r:id="rId268" xr:uid="{00000000-0004-0000-0500-00000B010000}"/>
    <hyperlink ref="F270" r:id="rId269" xr:uid="{00000000-0004-0000-0500-00000C010000}"/>
    <hyperlink ref="F271" r:id="rId270" xr:uid="{00000000-0004-0000-0500-00000D010000}"/>
    <hyperlink ref="F272" r:id="rId271" xr:uid="{00000000-0004-0000-0500-00000E010000}"/>
    <hyperlink ref="F273" r:id="rId272" xr:uid="{00000000-0004-0000-0500-00000F010000}"/>
    <hyperlink ref="F274" r:id="rId273" xr:uid="{00000000-0004-0000-0500-000010010000}"/>
    <hyperlink ref="F275" r:id="rId274" xr:uid="{00000000-0004-0000-0500-000011010000}"/>
    <hyperlink ref="F276" r:id="rId275" xr:uid="{00000000-0004-0000-0500-000012010000}"/>
    <hyperlink ref="F277" r:id="rId276" xr:uid="{00000000-0004-0000-0500-000013010000}"/>
    <hyperlink ref="F278" r:id="rId277" xr:uid="{00000000-0004-0000-0500-000014010000}"/>
    <hyperlink ref="F279" r:id="rId278" xr:uid="{00000000-0004-0000-0500-000015010000}"/>
    <hyperlink ref="F280" r:id="rId279" xr:uid="{00000000-0004-0000-0500-000016010000}"/>
    <hyperlink ref="F281" r:id="rId280" xr:uid="{00000000-0004-0000-0500-000017010000}"/>
    <hyperlink ref="F282" r:id="rId281" xr:uid="{00000000-0004-0000-0500-000018010000}"/>
    <hyperlink ref="F283" r:id="rId282" xr:uid="{00000000-0004-0000-0500-000019010000}"/>
    <hyperlink ref="F284" r:id="rId283" xr:uid="{00000000-0004-0000-0500-00001A010000}"/>
    <hyperlink ref="F285" r:id="rId284" xr:uid="{00000000-0004-0000-0500-00001B010000}"/>
    <hyperlink ref="F286" r:id="rId285" xr:uid="{00000000-0004-0000-0500-00001C010000}"/>
    <hyperlink ref="F287" r:id="rId286" xr:uid="{00000000-0004-0000-0500-00001D010000}"/>
    <hyperlink ref="F288" r:id="rId287" xr:uid="{00000000-0004-0000-0500-00001E010000}"/>
    <hyperlink ref="F289" r:id="rId288" xr:uid="{00000000-0004-0000-0500-00001F010000}"/>
    <hyperlink ref="F290" r:id="rId289" xr:uid="{00000000-0004-0000-0500-000020010000}"/>
    <hyperlink ref="F291" r:id="rId290" xr:uid="{00000000-0004-0000-0500-000021010000}"/>
    <hyperlink ref="F292" r:id="rId291" xr:uid="{00000000-0004-0000-0500-000022010000}"/>
    <hyperlink ref="F293" r:id="rId292" xr:uid="{00000000-0004-0000-0500-000023010000}"/>
    <hyperlink ref="F294" r:id="rId293" xr:uid="{00000000-0004-0000-0500-000024010000}"/>
    <hyperlink ref="F295" r:id="rId294" xr:uid="{00000000-0004-0000-0500-000025010000}"/>
    <hyperlink ref="F296" r:id="rId295" xr:uid="{00000000-0004-0000-0500-000026010000}"/>
    <hyperlink ref="F297" r:id="rId296" xr:uid="{00000000-0004-0000-0500-000027010000}"/>
    <hyperlink ref="F298" r:id="rId297" xr:uid="{00000000-0004-0000-0500-000028010000}"/>
    <hyperlink ref="F299" r:id="rId298" xr:uid="{00000000-0004-0000-0500-000029010000}"/>
    <hyperlink ref="F300" r:id="rId299" xr:uid="{00000000-0004-0000-0500-00002A010000}"/>
    <hyperlink ref="F301" r:id="rId300" xr:uid="{00000000-0004-0000-0500-00002B010000}"/>
    <hyperlink ref="F302" r:id="rId301" xr:uid="{00000000-0004-0000-0500-00002C010000}"/>
    <hyperlink ref="F303" r:id="rId302" xr:uid="{00000000-0004-0000-0500-00002D010000}"/>
    <hyperlink ref="F304" r:id="rId303" xr:uid="{00000000-0004-0000-0500-00002E010000}"/>
    <hyperlink ref="F305" r:id="rId304" xr:uid="{00000000-0004-0000-0500-00002F010000}"/>
    <hyperlink ref="F306" r:id="rId305" xr:uid="{00000000-0004-0000-0500-000030010000}"/>
    <hyperlink ref="F307" r:id="rId306" xr:uid="{00000000-0004-0000-0500-000031010000}"/>
    <hyperlink ref="F308" r:id="rId307" xr:uid="{00000000-0004-0000-0500-000032010000}"/>
    <hyperlink ref="F309" r:id="rId308" xr:uid="{00000000-0004-0000-0500-000033010000}"/>
    <hyperlink ref="F310" r:id="rId309" xr:uid="{00000000-0004-0000-0500-000034010000}"/>
    <hyperlink ref="F311" r:id="rId310" xr:uid="{00000000-0004-0000-0500-000035010000}"/>
    <hyperlink ref="F312" r:id="rId311" xr:uid="{00000000-0004-0000-0500-000036010000}"/>
    <hyperlink ref="F313" r:id="rId312" xr:uid="{00000000-0004-0000-0500-000037010000}"/>
    <hyperlink ref="F314" r:id="rId313" xr:uid="{00000000-0004-0000-0500-000038010000}"/>
    <hyperlink ref="F315" r:id="rId314" xr:uid="{00000000-0004-0000-0500-000039010000}"/>
    <hyperlink ref="F316" r:id="rId315" xr:uid="{00000000-0004-0000-0500-00003A010000}"/>
    <hyperlink ref="F317" r:id="rId316" xr:uid="{00000000-0004-0000-0500-00003B010000}"/>
    <hyperlink ref="F318" r:id="rId317" xr:uid="{00000000-0004-0000-0500-00003C010000}"/>
    <hyperlink ref="F319" r:id="rId318" xr:uid="{00000000-0004-0000-0500-00003D010000}"/>
    <hyperlink ref="F320" r:id="rId319" xr:uid="{00000000-0004-0000-0500-00003E010000}"/>
    <hyperlink ref="F321" r:id="rId320" xr:uid="{00000000-0004-0000-0500-00003F010000}"/>
    <hyperlink ref="F322" r:id="rId321" xr:uid="{00000000-0004-0000-0500-000040010000}"/>
    <hyperlink ref="F323" r:id="rId322" xr:uid="{00000000-0004-0000-0500-000041010000}"/>
    <hyperlink ref="F324" r:id="rId323" xr:uid="{00000000-0004-0000-0500-000042010000}"/>
    <hyperlink ref="F325" r:id="rId324" xr:uid="{00000000-0004-0000-0500-000043010000}"/>
    <hyperlink ref="F326" r:id="rId325" xr:uid="{00000000-0004-0000-0500-000044010000}"/>
    <hyperlink ref="F327" r:id="rId326" xr:uid="{00000000-0004-0000-0500-000045010000}"/>
    <hyperlink ref="F328" r:id="rId327" xr:uid="{00000000-0004-0000-0500-000046010000}"/>
    <hyperlink ref="F329" r:id="rId328" xr:uid="{00000000-0004-0000-0500-000047010000}"/>
    <hyperlink ref="F330" r:id="rId329" xr:uid="{00000000-0004-0000-0500-000048010000}"/>
    <hyperlink ref="F331" r:id="rId330" xr:uid="{00000000-0004-0000-0500-000049010000}"/>
    <hyperlink ref="F332" r:id="rId331" xr:uid="{00000000-0004-0000-0500-00004A010000}"/>
    <hyperlink ref="F333" r:id="rId332" xr:uid="{00000000-0004-0000-0500-00004B010000}"/>
    <hyperlink ref="F334" r:id="rId333" xr:uid="{00000000-0004-0000-0500-00004C010000}"/>
    <hyperlink ref="F335" r:id="rId334" xr:uid="{00000000-0004-0000-0500-00004D010000}"/>
    <hyperlink ref="F336" r:id="rId335" xr:uid="{00000000-0004-0000-0500-00004E010000}"/>
    <hyperlink ref="F337" r:id="rId336" xr:uid="{00000000-0004-0000-0500-00004F010000}"/>
    <hyperlink ref="F338" r:id="rId337" xr:uid="{00000000-0004-0000-0500-000050010000}"/>
    <hyperlink ref="F339" r:id="rId338" xr:uid="{00000000-0004-0000-0500-000051010000}"/>
    <hyperlink ref="F340" r:id="rId339" xr:uid="{00000000-0004-0000-0500-000052010000}"/>
    <hyperlink ref="F341" r:id="rId340" xr:uid="{00000000-0004-0000-0500-000053010000}"/>
    <hyperlink ref="F342" r:id="rId341" xr:uid="{00000000-0004-0000-0500-000054010000}"/>
    <hyperlink ref="F343" r:id="rId342" xr:uid="{00000000-0004-0000-0500-000055010000}"/>
    <hyperlink ref="F344" r:id="rId343" xr:uid="{00000000-0004-0000-0500-000056010000}"/>
    <hyperlink ref="F345" r:id="rId344" xr:uid="{00000000-0004-0000-0500-000057010000}"/>
    <hyperlink ref="F346" r:id="rId345" xr:uid="{00000000-0004-0000-0500-000058010000}"/>
    <hyperlink ref="F347" r:id="rId346" xr:uid="{00000000-0004-0000-0500-000059010000}"/>
    <hyperlink ref="F348" r:id="rId347" xr:uid="{00000000-0004-0000-0500-00005A010000}"/>
    <hyperlink ref="F349" r:id="rId348" xr:uid="{00000000-0004-0000-0500-00005B010000}"/>
    <hyperlink ref="F350" r:id="rId349" xr:uid="{00000000-0004-0000-0500-00005C010000}"/>
    <hyperlink ref="F351" r:id="rId350" xr:uid="{00000000-0004-0000-0500-00005D010000}"/>
    <hyperlink ref="F352" r:id="rId351" xr:uid="{00000000-0004-0000-0500-00005E010000}"/>
    <hyperlink ref="F353" r:id="rId352" xr:uid="{00000000-0004-0000-0500-00005F010000}"/>
    <hyperlink ref="F354" r:id="rId353" xr:uid="{00000000-0004-0000-0500-000060010000}"/>
    <hyperlink ref="F355" r:id="rId354" xr:uid="{00000000-0004-0000-0500-000061010000}"/>
    <hyperlink ref="F356" r:id="rId355" xr:uid="{00000000-0004-0000-0500-000062010000}"/>
    <hyperlink ref="F357" r:id="rId356" xr:uid="{00000000-0004-0000-0500-000063010000}"/>
    <hyperlink ref="F358" r:id="rId357" xr:uid="{00000000-0004-0000-0500-000064010000}"/>
    <hyperlink ref="F359" r:id="rId358" xr:uid="{00000000-0004-0000-0500-000065010000}"/>
    <hyperlink ref="F360" r:id="rId359" xr:uid="{00000000-0004-0000-0500-000066010000}"/>
    <hyperlink ref="F361" r:id="rId360" xr:uid="{00000000-0004-0000-0500-000067010000}"/>
    <hyperlink ref="F362" r:id="rId361" xr:uid="{00000000-0004-0000-0500-000068010000}"/>
    <hyperlink ref="F363" r:id="rId362" xr:uid="{00000000-0004-0000-0500-000069010000}"/>
    <hyperlink ref="F364" r:id="rId363" xr:uid="{00000000-0004-0000-0500-00006A010000}"/>
    <hyperlink ref="F365" r:id="rId364" xr:uid="{00000000-0004-0000-0500-00006B010000}"/>
    <hyperlink ref="F366" r:id="rId365" xr:uid="{00000000-0004-0000-0500-00006C010000}"/>
    <hyperlink ref="F367" r:id="rId366" xr:uid="{00000000-0004-0000-0500-00006D010000}"/>
    <hyperlink ref="F368" r:id="rId367" xr:uid="{00000000-0004-0000-0500-00006E010000}"/>
    <hyperlink ref="F369" r:id="rId368" xr:uid="{00000000-0004-0000-0500-00006F010000}"/>
    <hyperlink ref="F370" r:id="rId369" xr:uid="{00000000-0004-0000-0500-000070010000}"/>
    <hyperlink ref="F371" r:id="rId370" xr:uid="{00000000-0004-0000-0500-000071010000}"/>
    <hyperlink ref="F372" r:id="rId371" xr:uid="{00000000-0004-0000-0500-000072010000}"/>
    <hyperlink ref="F373" r:id="rId372" xr:uid="{00000000-0004-0000-0500-000073010000}"/>
    <hyperlink ref="F374" r:id="rId373" xr:uid="{00000000-0004-0000-0500-000074010000}"/>
    <hyperlink ref="F375" r:id="rId374" xr:uid="{00000000-0004-0000-0500-000075010000}"/>
    <hyperlink ref="F376" r:id="rId375" xr:uid="{00000000-0004-0000-0500-000076010000}"/>
    <hyperlink ref="F377" r:id="rId376" xr:uid="{00000000-0004-0000-0500-000077010000}"/>
    <hyperlink ref="F378" r:id="rId377" xr:uid="{00000000-0004-0000-0500-000078010000}"/>
    <hyperlink ref="F379" r:id="rId378" xr:uid="{00000000-0004-0000-0500-000079010000}"/>
    <hyperlink ref="F380" r:id="rId379" xr:uid="{00000000-0004-0000-0500-00007A010000}"/>
    <hyperlink ref="F381" r:id="rId380" xr:uid="{00000000-0004-0000-0500-00007B010000}"/>
    <hyperlink ref="F382" r:id="rId381" xr:uid="{00000000-0004-0000-0500-00007C010000}"/>
    <hyperlink ref="F383" r:id="rId382" xr:uid="{00000000-0004-0000-0500-00007D010000}"/>
    <hyperlink ref="F384" r:id="rId383" xr:uid="{00000000-0004-0000-0500-00007E010000}"/>
    <hyperlink ref="F385" r:id="rId384" xr:uid="{00000000-0004-0000-0500-00007F010000}"/>
    <hyperlink ref="F386" r:id="rId385" xr:uid="{00000000-0004-0000-0500-000080010000}"/>
    <hyperlink ref="F387" r:id="rId386" xr:uid="{00000000-0004-0000-0500-000081010000}"/>
    <hyperlink ref="F388" r:id="rId387" xr:uid="{00000000-0004-0000-0500-000082010000}"/>
    <hyperlink ref="F389" r:id="rId388" xr:uid="{00000000-0004-0000-0500-000083010000}"/>
    <hyperlink ref="F390" r:id="rId389" xr:uid="{00000000-0004-0000-0500-000084010000}"/>
    <hyperlink ref="F391" r:id="rId390" xr:uid="{00000000-0004-0000-0500-000085010000}"/>
    <hyperlink ref="F392" r:id="rId391" xr:uid="{00000000-0004-0000-0500-000086010000}"/>
    <hyperlink ref="F393" r:id="rId392" xr:uid="{00000000-0004-0000-0500-000087010000}"/>
    <hyperlink ref="F394" r:id="rId393" xr:uid="{00000000-0004-0000-0500-000088010000}"/>
    <hyperlink ref="F395" r:id="rId394" xr:uid="{00000000-0004-0000-0500-000089010000}"/>
    <hyperlink ref="F396" r:id="rId395" xr:uid="{00000000-0004-0000-0500-00008A010000}"/>
    <hyperlink ref="F397" r:id="rId396" xr:uid="{00000000-0004-0000-0500-00008B010000}"/>
    <hyperlink ref="F398" r:id="rId397" xr:uid="{00000000-0004-0000-0500-00008C010000}"/>
    <hyperlink ref="F399" r:id="rId398" xr:uid="{00000000-0004-0000-0500-00008D010000}"/>
    <hyperlink ref="F400" r:id="rId399" xr:uid="{00000000-0004-0000-0500-00008E010000}"/>
    <hyperlink ref="F401" r:id="rId400" xr:uid="{00000000-0004-0000-0500-00008F010000}"/>
    <hyperlink ref="F402" r:id="rId401" xr:uid="{00000000-0004-0000-0500-000090010000}"/>
    <hyperlink ref="F403" r:id="rId402" xr:uid="{00000000-0004-0000-0500-000091010000}"/>
    <hyperlink ref="F404" r:id="rId403" xr:uid="{00000000-0004-0000-0500-000092010000}"/>
    <hyperlink ref="F405" r:id="rId404" xr:uid="{00000000-0004-0000-0500-000093010000}"/>
    <hyperlink ref="F406" r:id="rId405" xr:uid="{00000000-0004-0000-0500-000094010000}"/>
    <hyperlink ref="F407" r:id="rId406" xr:uid="{00000000-0004-0000-0500-000095010000}"/>
    <hyperlink ref="F408" r:id="rId407" xr:uid="{00000000-0004-0000-0500-000096010000}"/>
    <hyperlink ref="F409" r:id="rId408" xr:uid="{00000000-0004-0000-0500-000097010000}"/>
    <hyperlink ref="F410" r:id="rId409" xr:uid="{00000000-0004-0000-0500-000098010000}"/>
    <hyperlink ref="F411" r:id="rId410" xr:uid="{00000000-0004-0000-0500-000099010000}"/>
    <hyperlink ref="F412" r:id="rId411" xr:uid="{00000000-0004-0000-0500-00009A010000}"/>
    <hyperlink ref="F413" r:id="rId412" xr:uid="{00000000-0004-0000-0500-00009B010000}"/>
    <hyperlink ref="F414" r:id="rId413" xr:uid="{00000000-0004-0000-0500-00009C010000}"/>
    <hyperlink ref="F415" r:id="rId414" xr:uid="{00000000-0004-0000-0500-00009D010000}"/>
    <hyperlink ref="F416" r:id="rId415" xr:uid="{00000000-0004-0000-0500-00009E010000}"/>
    <hyperlink ref="F417" r:id="rId416" xr:uid="{00000000-0004-0000-0500-00009F010000}"/>
    <hyperlink ref="F418" r:id="rId417" xr:uid="{00000000-0004-0000-0500-0000A0010000}"/>
    <hyperlink ref="F419" r:id="rId418" xr:uid="{00000000-0004-0000-0500-0000A1010000}"/>
    <hyperlink ref="F420" r:id="rId419" xr:uid="{00000000-0004-0000-0500-0000A2010000}"/>
    <hyperlink ref="F421" r:id="rId420" xr:uid="{00000000-0004-0000-0500-0000A3010000}"/>
    <hyperlink ref="F422" r:id="rId421" xr:uid="{00000000-0004-0000-0500-0000A4010000}"/>
    <hyperlink ref="F423" r:id="rId422" xr:uid="{00000000-0004-0000-0500-0000A5010000}"/>
    <hyperlink ref="F424" r:id="rId423" xr:uid="{00000000-0004-0000-0500-0000A6010000}"/>
    <hyperlink ref="F425" r:id="rId424" xr:uid="{00000000-0004-0000-0500-0000A7010000}"/>
    <hyperlink ref="F426" r:id="rId425" xr:uid="{00000000-0004-0000-0500-0000A8010000}"/>
    <hyperlink ref="F427" r:id="rId426" xr:uid="{00000000-0004-0000-0500-0000A9010000}"/>
    <hyperlink ref="F428" r:id="rId427" xr:uid="{00000000-0004-0000-0500-0000AA010000}"/>
    <hyperlink ref="F429" r:id="rId428" xr:uid="{00000000-0004-0000-0500-0000AB010000}"/>
    <hyperlink ref="F430" r:id="rId429" xr:uid="{00000000-0004-0000-0500-0000AC010000}"/>
    <hyperlink ref="F431" r:id="rId430" xr:uid="{00000000-0004-0000-0500-0000AD010000}"/>
    <hyperlink ref="F432" r:id="rId431" xr:uid="{00000000-0004-0000-0500-0000AE010000}"/>
    <hyperlink ref="F433" r:id="rId432" xr:uid="{00000000-0004-0000-0500-0000AF010000}"/>
    <hyperlink ref="F434" r:id="rId433" xr:uid="{00000000-0004-0000-0500-0000B0010000}"/>
    <hyperlink ref="F435" r:id="rId434" xr:uid="{00000000-0004-0000-0500-0000B1010000}"/>
    <hyperlink ref="F436" r:id="rId435" xr:uid="{00000000-0004-0000-0500-0000B2010000}"/>
    <hyperlink ref="F437" r:id="rId436" xr:uid="{00000000-0004-0000-0500-0000B3010000}"/>
    <hyperlink ref="F438" r:id="rId437" xr:uid="{00000000-0004-0000-0500-0000B4010000}"/>
    <hyperlink ref="F439" r:id="rId438" xr:uid="{00000000-0004-0000-0500-0000B5010000}"/>
    <hyperlink ref="F440" r:id="rId439" xr:uid="{00000000-0004-0000-0500-0000B6010000}"/>
    <hyperlink ref="F441" r:id="rId440" xr:uid="{00000000-0004-0000-0500-0000B7010000}"/>
    <hyperlink ref="F442" r:id="rId441" xr:uid="{00000000-0004-0000-0500-0000B8010000}"/>
    <hyperlink ref="F443" r:id="rId442" xr:uid="{00000000-0004-0000-0500-0000B9010000}"/>
    <hyperlink ref="F444" r:id="rId443" xr:uid="{00000000-0004-0000-0500-0000BA010000}"/>
    <hyperlink ref="F445" r:id="rId444" xr:uid="{00000000-0004-0000-0500-0000BB010000}"/>
    <hyperlink ref="F446" r:id="rId445" xr:uid="{00000000-0004-0000-0500-0000BC010000}"/>
    <hyperlink ref="F447" r:id="rId446" xr:uid="{00000000-0004-0000-0500-0000BD010000}"/>
    <hyperlink ref="F448" r:id="rId447" xr:uid="{00000000-0004-0000-0500-0000BE010000}"/>
    <hyperlink ref="F449" r:id="rId448" xr:uid="{00000000-0004-0000-0500-0000BF010000}"/>
    <hyperlink ref="F450" r:id="rId449" xr:uid="{00000000-0004-0000-0500-0000C0010000}"/>
    <hyperlink ref="F451" r:id="rId450" xr:uid="{00000000-0004-0000-0500-0000C1010000}"/>
    <hyperlink ref="F452" r:id="rId451" xr:uid="{00000000-0004-0000-0500-0000C2010000}"/>
    <hyperlink ref="F453" r:id="rId452" xr:uid="{00000000-0004-0000-0500-0000C3010000}"/>
    <hyperlink ref="F454" r:id="rId453" xr:uid="{00000000-0004-0000-0500-0000C4010000}"/>
    <hyperlink ref="F455" r:id="rId454" xr:uid="{00000000-0004-0000-0500-0000C5010000}"/>
    <hyperlink ref="F456" r:id="rId455" xr:uid="{00000000-0004-0000-0500-0000C6010000}"/>
    <hyperlink ref="F457" r:id="rId456" xr:uid="{00000000-0004-0000-0500-0000C7010000}"/>
    <hyperlink ref="F458" r:id="rId457" xr:uid="{00000000-0004-0000-0500-0000C8010000}"/>
    <hyperlink ref="F459" r:id="rId458" xr:uid="{00000000-0004-0000-0500-0000C9010000}"/>
    <hyperlink ref="F460" r:id="rId459" xr:uid="{00000000-0004-0000-0500-0000CA010000}"/>
    <hyperlink ref="F461" r:id="rId460" xr:uid="{00000000-0004-0000-0500-0000CB010000}"/>
    <hyperlink ref="F462" r:id="rId461" xr:uid="{00000000-0004-0000-0500-0000CC010000}"/>
    <hyperlink ref="F463" r:id="rId462" xr:uid="{00000000-0004-0000-0500-0000CD010000}"/>
    <hyperlink ref="F464" r:id="rId463" xr:uid="{00000000-0004-0000-0500-0000CE010000}"/>
    <hyperlink ref="F465" r:id="rId464" xr:uid="{00000000-0004-0000-0500-0000CF010000}"/>
    <hyperlink ref="F466" r:id="rId465" xr:uid="{00000000-0004-0000-0500-0000D0010000}"/>
    <hyperlink ref="F467" r:id="rId466" xr:uid="{00000000-0004-0000-0500-0000D1010000}"/>
    <hyperlink ref="F468" r:id="rId467" xr:uid="{00000000-0004-0000-0500-0000D2010000}"/>
    <hyperlink ref="F469" r:id="rId468" xr:uid="{00000000-0004-0000-0500-0000D3010000}"/>
    <hyperlink ref="F470" r:id="rId469" xr:uid="{00000000-0004-0000-0500-0000D4010000}"/>
    <hyperlink ref="F471" r:id="rId470" xr:uid="{00000000-0004-0000-0500-0000D5010000}"/>
    <hyperlink ref="F472" r:id="rId471" xr:uid="{00000000-0004-0000-0500-0000D6010000}"/>
    <hyperlink ref="F473" r:id="rId472" xr:uid="{00000000-0004-0000-0500-0000D7010000}"/>
    <hyperlink ref="F474" r:id="rId473" xr:uid="{00000000-0004-0000-0500-0000D8010000}"/>
    <hyperlink ref="F475" r:id="rId474" xr:uid="{00000000-0004-0000-0500-0000D9010000}"/>
    <hyperlink ref="F476" r:id="rId475" xr:uid="{00000000-0004-0000-0500-0000DA010000}"/>
    <hyperlink ref="F477" r:id="rId476" xr:uid="{00000000-0004-0000-0500-0000DB010000}"/>
    <hyperlink ref="F478" r:id="rId477" xr:uid="{00000000-0004-0000-0500-0000DC010000}"/>
    <hyperlink ref="F479" r:id="rId478" xr:uid="{00000000-0004-0000-0500-0000DD010000}"/>
    <hyperlink ref="F480" r:id="rId479" xr:uid="{00000000-0004-0000-0500-0000DE010000}"/>
    <hyperlink ref="F481" r:id="rId480" xr:uid="{00000000-0004-0000-0500-0000DF010000}"/>
    <hyperlink ref="F482" r:id="rId481" xr:uid="{00000000-0004-0000-0500-0000E0010000}"/>
    <hyperlink ref="F483" r:id="rId482" xr:uid="{00000000-0004-0000-0500-0000E1010000}"/>
    <hyperlink ref="F484" r:id="rId483" xr:uid="{00000000-0004-0000-0500-0000E2010000}"/>
    <hyperlink ref="F485" r:id="rId484" xr:uid="{00000000-0004-0000-0500-0000E3010000}"/>
    <hyperlink ref="F486" r:id="rId485" xr:uid="{00000000-0004-0000-0500-0000E4010000}"/>
    <hyperlink ref="F487" r:id="rId486" xr:uid="{00000000-0004-0000-0500-0000E5010000}"/>
    <hyperlink ref="F488" r:id="rId487" xr:uid="{00000000-0004-0000-0500-0000E6010000}"/>
    <hyperlink ref="F489" r:id="rId488" xr:uid="{00000000-0004-0000-0500-0000E7010000}"/>
    <hyperlink ref="F490" r:id="rId489" xr:uid="{00000000-0004-0000-0500-0000E8010000}"/>
    <hyperlink ref="F491" r:id="rId490" xr:uid="{00000000-0004-0000-0500-0000E9010000}"/>
    <hyperlink ref="F492" r:id="rId491" xr:uid="{00000000-0004-0000-0500-0000EA010000}"/>
    <hyperlink ref="F493" r:id="rId492" xr:uid="{00000000-0004-0000-0500-0000EB010000}"/>
    <hyperlink ref="F494" r:id="rId493" xr:uid="{00000000-0004-0000-0500-0000EC010000}"/>
    <hyperlink ref="F495" r:id="rId494" xr:uid="{00000000-0004-0000-0500-0000ED010000}"/>
    <hyperlink ref="F496" r:id="rId495" xr:uid="{00000000-0004-0000-0500-0000EE010000}"/>
    <hyperlink ref="F497" r:id="rId496" xr:uid="{00000000-0004-0000-0500-0000EF010000}"/>
    <hyperlink ref="F498" r:id="rId497" xr:uid="{00000000-0004-0000-0500-0000F0010000}"/>
    <hyperlink ref="F499" r:id="rId498" xr:uid="{00000000-0004-0000-0500-0000F1010000}"/>
    <hyperlink ref="F500" r:id="rId499" xr:uid="{00000000-0004-0000-0500-0000F2010000}"/>
    <hyperlink ref="F501" r:id="rId500" xr:uid="{00000000-0004-0000-0500-0000F3010000}"/>
    <hyperlink ref="F502" r:id="rId501" xr:uid="{00000000-0004-0000-0500-0000F4010000}"/>
    <hyperlink ref="F503" r:id="rId502" xr:uid="{00000000-0004-0000-0500-0000F5010000}"/>
    <hyperlink ref="F504" r:id="rId503" xr:uid="{00000000-0004-0000-0500-0000F6010000}"/>
    <hyperlink ref="F505" r:id="rId504" xr:uid="{00000000-0004-0000-0500-0000F7010000}"/>
    <hyperlink ref="F506" r:id="rId505" xr:uid="{00000000-0004-0000-0500-0000F8010000}"/>
    <hyperlink ref="F507" r:id="rId506" xr:uid="{00000000-0004-0000-0500-0000F9010000}"/>
    <hyperlink ref="F508" r:id="rId507" xr:uid="{00000000-0004-0000-0500-0000FA010000}"/>
    <hyperlink ref="F509" r:id="rId508" xr:uid="{00000000-0004-0000-0500-0000FB010000}"/>
    <hyperlink ref="F510" r:id="rId509" xr:uid="{00000000-0004-0000-0500-0000FC010000}"/>
    <hyperlink ref="F511" r:id="rId510" xr:uid="{00000000-0004-0000-0500-0000FD010000}"/>
    <hyperlink ref="F512" r:id="rId511" xr:uid="{00000000-0004-0000-0500-0000FE010000}"/>
    <hyperlink ref="F513" r:id="rId512" xr:uid="{00000000-0004-0000-0500-0000FF010000}"/>
    <hyperlink ref="F514" r:id="rId513" xr:uid="{00000000-0004-0000-0500-000000020000}"/>
    <hyperlink ref="F515" r:id="rId514" xr:uid="{00000000-0004-0000-0500-000001020000}"/>
    <hyperlink ref="F516" r:id="rId515" xr:uid="{00000000-0004-0000-0500-000002020000}"/>
    <hyperlink ref="F517" r:id="rId516" xr:uid="{00000000-0004-0000-0500-000003020000}"/>
    <hyperlink ref="F518" r:id="rId517" xr:uid="{00000000-0004-0000-0500-000004020000}"/>
    <hyperlink ref="F519" r:id="rId518" xr:uid="{00000000-0004-0000-0500-000005020000}"/>
    <hyperlink ref="F520" r:id="rId519" xr:uid="{00000000-0004-0000-0500-000006020000}"/>
    <hyperlink ref="F521" r:id="rId520" xr:uid="{00000000-0004-0000-0500-000007020000}"/>
    <hyperlink ref="F522" r:id="rId521" xr:uid="{00000000-0004-0000-0500-000008020000}"/>
    <hyperlink ref="F523" r:id="rId522" xr:uid="{00000000-0004-0000-0500-000009020000}"/>
    <hyperlink ref="F524" r:id="rId523" xr:uid="{00000000-0004-0000-0500-00000A020000}"/>
    <hyperlink ref="F525" r:id="rId524" xr:uid="{00000000-0004-0000-0500-00000B020000}"/>
    <hyperlink ref="F526" r:id="rId525" xr:uid="{00000000-0004-0000-0500-00000C020000}"/>
    <hyperlink ref="F527" r:id="rId526" xr:uid="{00000000-0004-0000-0500-00000D020000}"/>
    <hyperlink ref="F528" r:id="rId527" xr:uid="{00000000-0004-0000-0500-00000E020000}"/>
    <hyperlink ref="F529" r:id="rId528" xr:uid="{00000000-0004-0000-0500-00000F020000}"/>
    <hyperlink ref="F530" r:id="rId529" xr:uid="{00000000-0004-0000-0500-000010020000}"/>
    <hyperlink ref="F531" r:id="rId530" xr:uid="{00000000-0004-0000-0500-000011020000}"/>
    <hyperlink ref="F532" r:id="rId531" xr:uid="{00000000-0004-0000-0500-000012020000}"/>
    <hyperlink ref="F533" r:id="rId532" xr:uid="{00000000-0004-0000-0500-000013020000}"/>
    <hyperlink ref="F534" r:id="rId533" xr:uid="{00000000-0004-0000-0500-000014020000}"/>
    <hyperlink ref="F535" r:id="rId534" xr:uid="{00000000-0004-0000-0500-000015020000}"/>
    <hyperlink ref="F536" r:id="rId535" xr:uid="{00000000-0004-0000-0500-000016020000}"/>
    <hyperlink ref="F537" r:id="rId536" xr:uid="{00000000-0004-0000-0500-000017020000}"/>
    <hyperlink ref="F538" r:id="rId537" xr:uid="{00000000-0004-0000-0500-000018020000}"/>
    <hyperlink ref="F539" r:id="rId538" xr:uid="{00000000-0004-0000-0500-000019020000}"/>
    <hyperlink ref="F540" r:id="rId539" xr:uid="{00000000-0004-0000-0500-00001A020000}"/>
    <hyperlink ref="F541" r:id="rId540" xr:uid="{00000000-0004-0000-0500-00001B020000}"/>
    <hyperlink ref="F542" r:id="rId541" xr:uid="{00000000-0004-0000-0500-00001C020000}"/>
    <hyperlink ref="F543" r:id="rId542" xr:uid="{00000000-0004-0000-0500-00001D020000}"/>
    <hyperlink ref="F544" r:id="rId543" xr:uid="{00000000-0004-0000-0500-00001E020000}"/>
    <hyperlink ref="F545" r:id="rId544" xr:uid="{00000000-0004-0000-0500-00001F020000}"/>
    <hyperlink ref="F546" r:id="rId545" xr:uid="{00000000-0004-0000-0500-000020020000}"/>
    <hyperlink ref="F547" r:id="rId546" xr:uid="{00000000-0004-0000-0500-000021020000}"/>
    <hyperlink ref="F548" r:id="rId547" xr:uid="{00000000-0004-0000-0500-000022020000}"/>
    <hyperlink ref="F549" r:id="rId548" xr:uid="{00000000-0004-0000-0500-000023020000}"/>
    <hyperlink ref="F550" r:id="rId549" xr:uid="{00000000-0004-0000-0500-000024020000}"/>
    <hyperlink ref="F551" r:id="rId550" xr:uid="{00000000-0004-0000-0500-000025020000}"/>
    <hyperlink ref="F552" r:id="rId551" xr:uid="{00000000-0004-0000-0500-000026020000}"/>
    <hyperlink ref="F553" r:id="rId552" xr:uid="{00000000-0004-0000-0500-000027020000}"/>
    <hyperlink ref="F554" r:id="rId553" xr:uid="{00000000-0004-0000-0500-000028020000}"/>
    <hyperlink ref="F555" r:id="rId554" xr:uid="{00000000-0004-0000-0500-000029020000}"/>
    <hyperlink ref="F556" r:id="rId555" xr:uid="{00000000-0004-0000-0500-00002A020000}"/>
    <hyperlink ref="F557" r:id="rId556" xr:uid="{00000000-0004-0000-0500-00002B020000}"/>
    <hyperlink ref="F558" r:id="rId557" xr:uid="{00000000-0004-0000-0500-00002C020000}"/>
    <hyperlink ref="F559" r:id="rId558" xr:uid="{00000000-0004-0000-0500-00002D020000}"/>
    <hyperlink ref="F560" r:id="rId559" xr:uid="{00000000-0004-0000-0500-00002E020000}"/>
    <hyperlink ref="F561" r:id="rId560" xr:uid="{00000000-0004-0000-0500-00002F020000}"/>
    <hyperlink ref="F562" r:id="rId561" xr:uid="{00000000-0004-0000-0500-000030020000}"/>
    <hyperlink ref="F563" r:id="rId562" xr:uid="{00000000-0004-0000-0500-000031020000}"/>
    <hyperlink ref="F564" r:id="rId563" xr:uid="{00000000-0004-0000-0500-000032020000}"/>
    <hyperlink ref="F565" r:id="rId564" xr:uid="{00000000-0004-0000-0500-000033020000}"/>
    <hyperlink ref="F566" r:id="rId565" xr:uid="{00000000-0004-0000-0500-000034020000}"/>
    <hyperlink ref="F567" r:id="rId566" xr:uid="{00000000-0004-0000-0500-000035020000}"/>
    <hyperlink ref="F568" r:id="rId567" xr:uid="{00000000-0004-0000-0500-000036020000}"/>
    <hyperlink ref="F569" r:id="rId568" xr:uid="{00000000-0004-0000-0500-000037020000}"/>
    <hyperlink ref="F570" r:id="rId569" xr:uid="{00000000-0004-0000-0500-000038020000}"/>
    <hyperlink ref="F571" r:id="rId570" xr:uid="{00000000-0004-0000-0500-000039020000}"/>
    <hyperlink ref="F572" r:id="rId571" xr:uid="{00000000-0004-0000-0500-00003A020000}"/>
    <hyperlink ref="F573" r:id="rId572" xr:uid="{00000000-0004-0000-0500-00003B020000}"/>
    <hyperlink ref="F574" r:id="rId573" xr:uid="{00000000-0004-0000-0500-00003C020000}"/>
    <hyperlink ref="F575" r:id="rId574" xr:uid="{00000000-0004-0000-0500-00003D020000}"/>
    <hyperlink ref="F576" r:id="rId575" xr:uid="{00000000-0004-0000-0500-00003E020000}"/>
    <hyperlink ref="F577" r:id="rId576" xr:uid="{00000000-0004-0000-0500-00003F020000}"/>
    <hyperlink ref="F578" r:id="rId577" xr:uid="{00000000-0004-0000-0500-000040020000}"/>
    <hyperlink ref="F579" r:id="rId578" xr:uid="{00000000-0004-0000-0500-000041020000}"/>
    <hyperlink ref="F580" r:id="rId579" xr:uid="{00000000-0004-0000-0500-000042020000}"/>
    <hyperlink ref="F581" r:id="rId580" xr:uid="{00000000-0004-0000-0500-000043020000}"/>
    <hyperlink ref="F582" r:id="rId581" xr:uid="{00000000-0004-0000-0500-000044020000}"/>
    <hyperlink ref="F583" r:id="rId582" xr:uid="{00000000-0004-0000-0500-000045020000}"/>
    <hyperlink ref="F584" r:id="rId583" xr:uid="{00000000-0004-0000-0500-000046020000}"/>
    <hyperlink ref="F585" r:id="rId584" xr:uid="{00000000-0004-0000-0500-000047020000}"/>
    <hyperlink ref="F586" r:id="rId585" xr:uid="{00000000-0004-0000-0500-000048020000}"/>
    <hyperlink ref="F587" r:id="rId586" xr:uid="{00000000-0004-0000-0500-000049020000}"/>
    <hyperlink ref="F588" r:id="rId587" xr:uid="{00000000-0004-0000-0500-00004A020000}"/>
    <hyperlink ref="F589" r:id="rId588" xr:uid="{00000000-0004-0000-0500-00004B020000}"/>
    <hyperlink ref="F590" r:id="rId589" xr:uid="{00000000-0004-0000-0500-00004C020000}"/>
    <hyperlink ref="F591" r:id="rId590" xr:uid="{00000000-0004-0000-0500-00004D020000}"/>
    <hyperlink ref="F592" r:id="rId591" xr:uid="{00000000-0004-0000-0500-00004E020000}"/>
    <hyperlink ref="F593" r:id="rId592" xr:uid="{00000000-0004-0000-0500-00004F020000}"/>
    <hyperlink ref="F594" r:id="rId593" xr:uid="{00000000-0004-0000-0500-000050020000}"/>
    <hyperlink ref="F595" r:id="rId594" xr:uid="{00000000-0004-0000-0500-000051020000}"/>
    <hyperlink ref="F596" r:id="rId595" xr:uid="{00000000-0004-0000-0500-000052020000}"/>
    <hyperlink ref="F597" r:id="rId596" xr:uid="{00000000-0004-0000-0500-000053020000}"/>
    <hyperlink ref="F598" r:id="rId597" xr:uid="{00000000-0004-0000-0500-000054020000}"/>
    <hyperlink ref="F599" r:id="rId598" xr:uid="{00000000-0004-0000-0500-000055020000}"/>
    <hyperlink ref="F600" r:id="rId599" xr:uid="{00000000-0004-0000-0500-000056020000}"/>
    <hyperlink ref="F601" r:id="rId600" xr:uid="{00000000-0004-0000-0500-000057020000}"/>
    <hyperlink ref="F602" r:id="rId601" xr:uid="{00000000-0004-0000-0500-000058020000}"/>
    <hyperlink ref="F603" r:id="rId602" xr:uid="{00000000-0004-0000-0500-000059020000}"/>
    <hyperlink ref="F604" r:id="rId603" xr:uid="{00000000-0004-0000-0500-00005A020000}"/>
    <hyperlink ref="F605" r:id="rId604" xr:uid="{00000000-0004-0000-0500-00005B020000}"/>
    <hyperlink ref="F606" r:id="rId605" xr:uid="{00000000-0004-0000-0500-00005C020000}"/>
    <hyperlink ref="F607" r:id="rId606" xr:uid="{00000000-0004-0000-0500-00005D020000}"/>
    <hyperlink ref="F608" r:id="rId607" xr:uid="{00000000-0004-0000-0500-00005E020000}"/>
    <hyperlink ref="F609" r:id="rId608" xr:uid="{00000000-0004-0000-0500-00005F020000}"/>
    <hyperlink ref="F610" r:id="rId609" xr:uid="{00000000-0004-0000-0500-000060020000}"/>
    <hyperlink ref="F611" r:id="rId610" xr:uid="{00000000-0004-0000-0500-000061020000}"/>
    <hyperlink ref="F612" r:id="rId611" xr:uid="{00000000-0004-0000-0500-000062020000}"/>
    <hyperlink ref="F613" r:id="rId612" xr:uid="{00000000-0004-0000-0500-000063020000}"/>
    <hyperlink ref="F614" r:id="rId613" xr:uid="{00000000-0004-0000-0500-000064020000}"/>
    <hyperlink ref="F615" r:id="rId614" xr:uid="{00000000-0004-0000-0500-000065020000}"/>
    <hyperlink ref="F616" r:id="rId615" xr:uid="{00000000-0004-0000-0500-000066020000}"/>
    <hyperlink ref="F617" r:id="rId616" xr:uid="{00000000-0004-0000-0500-000067020000}"/>
    <hyperlink ref="F618" r:id="rId617" xr:uid="{00000000-0004-0000-0500-000068020000}"/>
    <hyperlink ref="F619" r:id="rId618" xr:uid="{00000000-0004-0000-0500-000069020000}"/>
    <hyperlink ref="F620" r:id="rId619" xr:uid="{00000000-0004-0000-0500-00006A020000}"/>
    <hyperlink ref="F621" r:id="rId620" xr:uid="{00000000-0004-0000-0500-00006B020000}"/>
    <hyperlink ref="F622" r:id="rId621" xr:uid="{00000000-0004-0000-0500-00006C020000}"/>
    <hyperlink ref="F623" r:id="rId622" xr:uid="{00000000-0004-0000-0500-00006D020000}"/>
    <hyperlink ref="F624" r:id="rId623" xr:uid="{00000000-0004-0000-0500-00006E020000}"/>
    <hyperlink ref="F625" r:id="rId624" xr:uid="{00000000-0004-0000-0500-00006F020000}"/>
    <hyperlink ref="F626" r:id="rId625" xr:uid="{00000000-0004-0000-0500-000070020000}"/>
    <hyperlink ref="F627" r:id="rId626" xr:uid="{00000000-0004-0000-0500-000071020000}"/>
    <hyperlink ref="F628" r:id="rId627" xr:uid="{00000000-0004-0000-0500-000072020000}"/>
    <hyperlink ref="F629" r:id="rId628" xr:uid="{00000000-0004-0000-0500-000073020000}"/>
    <hyperlink ref="F630" r:id="rId629" xr:uid="{00000000-0004-0000-0500-000074020000}"/>
    <hyperlink ref="F631" r:id="rId630" xr:uid="{00000000-0004-0000-0500-000075020000}"/>
    <hyperlink ref="F632" r:id="rId631" xr:uid="{00000000-0004-0000-0500-000076020000}"/>
    <hyperlink ref="F633" r:id="rId632" xr:uid="{00000000-0004-0000-0500-000077020000}"/>
    <hyperlink ref="F634" r:id="rId633" xr:uid="{00000000-0004-0000-0500-000078020000}"/>
    <hyperlink ref="F635" r:id="rId634" xr:uid="{00000000-0004-0000-0500-000079020000}"/>
    <hyperlink ref="F636" r:id="rId635" xr:uid="{00000000-0004-0000-0500-00007A020000}"/>
    <hyperlink ref="F637" r:id="rId636" xr:uid="{00000000-0004-0000-0500-00007B020000}"/>
    <hyperlink ref="F638" r:id="rId637" xr:uid="{00000000-0004-0000-0500-00007C020000}"/>
    <hyperlink ref="F639" r:id="rId638" xr:uid="{00000000-0004-0000-0500-00007D020000}"/>
    <hyperlink ref="F640" r:id="rId639" xr:uid="{00000000-0004-0000-0500-00007E020000}"/>
    <hyperlink ref="F641" r:id="rId640" xr:uid="{00000000-0004-0000-0500-00007F020000}"/>
    <hyperlink ref="F642" r:id="rId641" xr:uid="{00000000-0004-0000-0500-000080020000}"/>
    <hyperlink ref="F643" r:id="rId642" xr:uid="{00000000-0004-0000-0500-000081020000}"/>
    <hyperlink ref="F644" r:id="rId643" xr:uid="{00000000-0004-0000-0500-000082020000}"/>
    <hyperlink ref="F645" r:id="rId644" xr:uid="{00000000-0004-0000-0500-000083020000}"/>
    <hyperlink ref="F646" r:id="rId645" xr:uid="{00000000-0004-0000-0500-000084020000}"/>
    <hyperlink ref="F647" r:id="rId646" xr:uid="{00000000-0004-0000-0500-000085020000}"/>
    <hyperlink ref="F648" r:id="rId647" xr:uid="{00000000-0004-0000-0500-000086020000}"/>
    <hyperlink ref="F649" r:id="rId648" xr:uid="{00000000-0004-0000-0500-000087020000}"/>
    <hyperlink ref="F650" r:id="rId649" xr:uid="{00000000-0004-0000-0500-000088020000}"/>
    <hyperlink ref="F651" r:id="rId650" xr:uid="{00000000-0004-0000-0500-000089020000}"/>
    <hyperlink ref="F652" r:id="rId651" xr:uid="{00000000-0004-0000-0500-00008A020000}"/>
    <hyperlink ref="F653" r:id="rId652" xr:uid="{00000000-0004-0000-0500-00008B020000}"/>
    <hyperlink ref="F654" r:id="rId653" xr:uid="{00000000-0004-0000-0500-00008C020000}"/>
    <hyperlink ref="F655" r:id="rId654" xr:uid="{00000000-0004-0000-0500-00008D020000}"/>
    <hyperlink ref="F656" r:id="rId655" xr:uid="{00000000-0004-0000-0500-00008E020000}"/>
    <hyperlink ref="F657" r:id="rId656" xr:uid="{00000000-0004-0000-0500-00008F020000}"/>
    <hyperlink ref="F658" r:id="rId657" xr:uid="{00000000-0004-0000-0500-000090020000}"/>
    <hyperlink ref="F659" r:id="rId658" xr:uid="{00000000-0004-0000-0500-000091020000}"/>
    <hyperlink ref="F660" r:id="rId659" xr:uid="{00000000-0004-0000-0500-000092020000}"/>
    <hyperlink ref="F661" r:id="rId660" xr:uid="{00000000-0004-0000-0500-000093020000}"/>
    <hyperlink ref="F662" r:id="rId661" xr:uid="{00000000-0004-0000-0500-000094020000}"/>
    <hyperlink ref="F663" r:id="rId662" xr:uid="{00000000-0004-0000-0500-000095020000}"/>
    <hyperlink ref="F664" r:id="rId663" xr:uid="{00000000-0004-0000-0500-000096020000}"/>
    <hyperlink ref="F665" r:id="rId664" xr:uid="{00000000-0004-0000-0500-000097020000}"/>
    <hyperlink ref="F666" r:id="rId665" xr:uid="{00000000-0004-0000-0500-000098020000}"/>
    <hyperlink ref="F667" r:id="rId666" xr:uid="{00000000-0004-0000-0500-000099020000}"/>
    <hyperlink ref="F668" r:id="rId667" xr:uid="{00000000-0004-0000-0500-00009A020000}"/>
    <hyperlink ref="F669" r:id="rId668" xr:uid="{00000000-0004-0000-0500-00009B020000}"/>
    <hyperlink ref="F670" r:id="rId669" xr:uid="{00000000-0004-0000-0500-00009C020000}"/>
    <hyperlink ref="F671" r:id="rId670" xr:uid="{00000000-0004-0000-0500-00009D020000}"/>
    <hyperlink ref="F672" r:id="rId671" xr:uid="{00000000-0004-0000-0500-00009E020000}"/>
    <hyperlink ref="F673" r:id="rId672" xr:uid="{00000000-0004-0000-0500-00009F020000}"/>
    <hyperlink ref="F674" r:id="rId673" xr:uid="{00000000-0004-0000-0500-0000A0020000}"/>
    <hyperlink ref="F675" r:id="rId674" xr:uid="{00000000-0004-0000-0500-0000A1020000}"/>
    <hyperlink ref="F676" r:id="rId675" xr:uid="{00000000-0004-0000-0500-0000A2020000}"/>
    <hyperlink ref="F677" r:id="rId676" xr:uid="{00000000-0004-0000-0500-0000A3020000}"/>
    <hyperlink ref="F678" r:id="rId677" xr:uid="{00000000-0004-0000-0500-0000A4020000}"/>
    <hyperlink ref="F679" r:id="rId678" xr:uid="{00000000-0004-0000-0500-0000A5020000}"/>
    <hyperlink ref="F680" r:id="rId679" xr:uid="{00000000-0004-0000-0500-0000A6020000}"/>
    <hyperlink ref="F681" r:id="rId680" xr:uid="{00000000-0004-0000-0500-0000A7020000}"/>
    <hyperlink ref="F682" r:id="rId681" xr:uid="{00000000-0004-0000-0500-0000A8020000}"/>
    <hyperlink ref="F683" r:id="rId682" xr:uid="{00000000-0004-0000-0500-0000A9020000}"/>
    <hyperlink ref="F684" r:id="rId683" xr:uid="{00000000-0004-0000-0500-0000AA020000}"/>
    <hyperlink ref="F685" r:id="rId684" xr:uid="{00000000-0004-0000-0500-0000AB020000}"/>
    <hyperlink ref="F686" r:id="rId685" xr:uid="{00000000-0004-0000-0500-0000AC020000}"/>
    <hyperlink ref="F687" r:id="rId686" xr:uid="{00000000-0004-0000-0500-0000AD020000}"/>
    <hyperlink ref="F688" r:id="rId687" xr:uid="{00000000-0004-0000-0500-0000AE020000}"/>
    <hyperlink ref="F689" r:id="rId688" xr:uid="{00000000-0004-0000-0500-0000AF020000}"/>
    <hyperlink ref="F690" r:id="rId689" xr:uid="{00000000-0004-0000-0500-0000B0020000}"/>
    <hyperlink ref="F691" r:id="rId690" xr:uid="{00000000-0004-0000-0500-0000B1020000}"/>
    <hyperlink ref="F692" r:id="rId691" xr:uid="{00000000-0004-0000-0500-0000B2020000}"/>
    <hyperlink ref="F693" r:id="rId692" xr:uid="{00000000-0004-0000-0500-0000B3020000}"/>
    <hyperlink ref="F694" r:id="rId693" xr:uid="{00000000-0004-0000-0500-0000B4020000}"/>
    <hyperlink ref="F695" r:id="rId694" xr:uid="{00000000-0004-0000-0500-0000B5020000}"/>
    <hyperlink ref="F696" r:id="rId695" xr:uid="{00000000-0004-0000-0500-0000B6020000}"/>
    <hyperlink ref="F697" r:id="rId696" xr:uid="{00000000-0004-0000-0500-0000B7020000}"/>
    <hyperlink ref="F698" r:id="rId697" xr:uid="{00000000-0004-0000-0500-0000B8020000}"/>
    <hyperlink ref="F699" r:id="rId698" xr:uid="{00000000-0004-0000-0500-0000B9020000}"/>
    <hyperlink ref="F700" r:id="rId699" xr:uid="{00000000-0004-0000-0500-0000BA020000}"/>
    <hyperlink ref="F701" r:id="rId700" xr:uid="{00000000-0004-0000-0500-0000BB020000}"/>
    <hyperlink ref="F702" r:id="rId701" xr:uid="{00000000-0004-0000-0500-0000BC020000}"/>
    <hyperlink ref="F703" r:id="rId702" xr:uid="{00000000-0004-0000-0500-0000BD020000}"/>
    <hyperlink ref="F704" r:id="rId703" xr:uid="{00000000-0004-0000-0500-0000BE020000}"/>
    <hyperlink ref="F705" r:id="rId704" xr:uid="{00000000-0004-0000-0500-0000BF020000}"/>
    <hyperlink ref="F706" r:id="rId705" xr:uid="{00000000-0004-0000-0500-0000C0020000}"/>
    <hyperlink ref="F707" r:id="rId706" xr:uid="{00000000-0004-0000-0500-0000C1020000}"/>
    <hyperlink ref="F708" r:id="rId707" xr:uid="{00000000-0004-0000-0500-0000C2020000}"/>
    <hyperlink ref="F709" r:id="rId708" xr:uid="{00000000-0004-0000-0500-0000C3020000}"/>
    <hyperlink ref="F710" r:id="rId709" xr:uid="{00000000-0004-0000-0500-0000C4020000}"/>
    <hyperlink ref="F711" r:id="rId710" xr:uid="{00000000-0004-0000-0500-0000C5020000}"/>
    <hyperlink ref="F712" r:id="rId711" xr:uid="{00000000-0004-0000-0500-0000C6020000}"/>
    <hyperlink ref="F713" r:id="rId712" xr:uid="{00000000-0004-0000-0500-0000C7020000}"/>
    <hyperlink ref="F714" r:id="rId713" xr:uid="{00000000-0004-0000-0500-0000C8020000}"/>
    <hyperlink ref="F715" r:id="rId714" xr:uid="{00000000-0004-0000-0500-0000C9020000}"/>
    <hyperlink ref="F716" r:id="rId715" xr:uid="{00000000-0004-0000-0500-0000CA020000}"/>
    <hyperlink ref="F717" r:id="rId716" xr:uid="{00000000-0004-0000-0500-0000CB020000}"/>
    <hyperlink ref="F718" r:id="rId717" xr:uid="{00000000-0004-0000-0500-0000CC020000}"/>
    <hyperlink ref="F719" r:id="rId718" xr:uid="{00000000-0004-0000-0500-0000CD020000}"/>
    <hyperlink ref="F720" r:id="rId719" xr:uid="{00000000-0004-0000-0500-0000CE020000}"/>
    <hyperlink ref="F721" r:id="rId720" xr:uid="{00000000-0004-0000-0500-0000CF020000}"/>
    <hyperlink ref="F722" r:id="rId721" xr:uid="{00000000-0004-0000-0500-0000D0020000}"/>
    <hyperlink ref="F723" r:id="rId722" xr:uid="{00000000-0004-0000-0500-0000D1020000}"/>
    <hyperlink ref="F724" r:id="rId723" xr:uid="{00000000-0004-0000-0500-0000D2020000}"/>
    <hyperlink ref="F725" r:id="rId724" xr:uid="{00000000-0004-0000-0500-0000D3020000}"/>
    <hyperlink ref="F726" r:id="rId725" xr:uid="{00000000-0004-0000-0500-0000D4020000}"/>
    <hyperlink ref="F727" r:id="rId726" xr:uid="{00000000-0004-0000-0500-0000D5020000}"/>
    <hyperlink ref="F728" r:id="rId727" xr:uid="{00000000-0004-0000-0500-0000D6020000}"/>
    <hyperlink ref="F729" r:id="rId728" xr:uid="{00000000-0004-0000-0500-0000D7020000}"/>
    <hyperlink ref="F730" r:id="rId729" xr:uid="{00000000-0004-0000-0500-0000D8020000}"/>
    <hyperlink ref="F731" r:id="rId730" xr:uid="{00000000-0004-0000-0500-0000D9020000}"/>
    <hyperlink ref="F732" r:id="rId731" xr:uid="{00000000-0004-0000-0500-0000DA020000}"/>
    <hyperlink ref="F733" r:id="rId732" xr:uid="{00000000-0004-0000-0500-0000DB020000}"/>
    <hyperlink ref="F734" r:id="rId733" xr:uid="{00000000-0004-0000-0500-0000DC020000}"/>
    <hyperlink ref="F735" r:id="rId734" xr:uid="{00000000-0004-0000-0500-0000DD020000}"/>
    <hyperlink ref="F736" r:id="rId735" xr:uid="{00000000-0004-0000-0500-0000DE020000}"/>
    <hyperlink ref="F737" r:id="rId736" xr:uid="{00000000-0004-0000-0500-0000DF020000}"/>
    <hyperlink ref="F738" r:id="rId737" xr:uid="{00000000-0004-0000-0500-0000E0020000}"/>
    <hyperlink ref="F739" r:id="rId738" xr:uid="{00000000-0004-0000-0500-0000E1020000}"/>
    <hyperlink ref="F740" r:id="rId739" xr:uid="{00000000-0004-0000-0500-0000E2020000}"/>
    <hyperlink ref="F741" r:id="rId740" xr:uid="{00000000-0004-0000-0500-0000E3020000}"/>
    <hyperlink ref="F742" r:id="rId741" xr:uid="{00000000-0004-0000-0500-0000E4020000}"/>
    <hyperlink ref="F743" r:id="rId742" xr:uid="{00000000-0004-0000-0500-0000E5020000}"/>
    <hyperlink ref="F744" r:id="rId743" xr:uid="{00000000-0004-0000-0500-0000E6020000}"/>
    <hyperlink ref="F745" r:id="rId744" xr:uid="{00000000-0004-0000-0500-0000E7020000}"/>
    <hyperlink ref="F746" r:id="rId745" xr:uid="{00000000-0004-0000-0500-0000E8020000}"/>
    <hyperlink ref="F747" r:id="rId746" xr:uid="{00000000-0004-0000-0500-0000E9020000}"/>
    <hyperlink ref="F748" r:id="rId747" xr:uid="{00000000-0004-0000-0500-0000EA020000}"/>
    <hyperlink ref="F749" r:id="rId748" xr:uid="{00000000-0004-0000-0500-0000EB020000}"/>
    <hyperlink ref="F750" r:id="rId749" xr:uid="{00000000-0004-0000-0500-0000EC020000}"/>
    <hyperlink ref="F751" r:id="rId750" xr:uid="{00000000-0004-0000-0500-0000ED020000}"/>
    <hyperlink ref="F752" r:id="rId751" xr:uid="{00000000-0004-0000-0500-0000EE020000}"/>
    <hyperlink ref="F753" r:id="rId752" xr:uid="{00000000-0004-0000-0500-0000EF020000}"/>
    <hyperlink ref="F754" r:id="rId753" xr:uid="{00000000-0004-0000-0500-0000F0020000}"/>
    <hyperlink ref="F755" r:id="rId754" xr:uid="{00000000-0004-0000-0500-0000F1020000}"/>
    <hyperlink ref="F756" r:id="rId755" xr:uid="{00000000-0004-0000-0500-0000F2020000}"/>
    <hyperlink ref="F757" r:id="rId756" xr:uid="{00000000-0004-0000-0500-0000F3020000}"/>
    <hyperlink ref="F758" r:id="rId757" xr:uid="{00000000-0004-0000-0500-0000F4020000}"/>
  </hyperlinks>
  <pageMargins left="0.7" right="0.7" top="0.75" bottom="0.75" header="0.3" footer="0.3"/>
  <drawing r:id="rId758"/>
  <legacyDrawing r:id="rId759"/>
  <extLst>
    <ext xmlns:x14="http://schemas.microsoft.com/office/spreadsheetml/2009/9/main" uri="{CCE6A557-97BC-4b89-ADB6-D9C93CAAB3DF}">
      <x14:dataValidations xmlns:xm="http://schemas.microsoft.com/office/excel/2006/main" count="3">
        <x14:dataValidation type="list" allowBlank="1" xr:uid="{00000000-0002-0000-0500-000000000000}">
          <x14:formula1>
            <xm:f>Fields!$F$2:$F$8</xm:f>
          </x14:formula1>
          <xm:sqref>C2:C758</xm:sqref>
        </x14:dataValidation>
        <x14:dataValidation type="list" allowBlank="1" xr:uid="{00000000-0002-0000-0500-000001000000}">
          <x14:formula1>
            <xm:f>Fields!$D$2:$D$10</xm:f>
          </x14:formula1>
          <xm:sqref>B2:B758</xm:sqref>
        </x14:dataValidation>
        <x14:dataValidation type="list" allowBlank="1" xr:uid="{00000000-0002-0000-0500-000002000000}">
          <x14:formula1>
            <xm:f>Fields!$A$2:$A$8</xm:f>
          </x14:formula1>
          <xm:sqref>D2:D758</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199"/>
  <sheetViews>
    <sheetView workbookViewId="0">
      <pane ySplit="1" topLeftCell="A101" activePane="bottomLeft" state="frozen"/>
      <selection pane="bottomLeft" sqref="A1:XFD1"/>
    </sheetView>
  </sheetViews>
  <sheetFormatPr defaultColWidth="12.5703125" defaultRowHeight="15" customHeight="1"/>
  <cols>
    <col min="1" max="1" width="5.140625" customWidth="1"/>
    <col min="2" max="2" width="6.28515625" customWidth="1"/>
    <col min="3" max="3" width="5.42578125" customWidth="1"/>
    <col min="4" max="4" width="11.28515625" customWidth="1"/>
    <col min="5" max="5" width="3.140625" customWidth="1"/>
    <col min="6" max="6" width="24.42578125" customWidth="1"/>
    <col min="7" max="7" width="24.85546875" customWidth="1"/>
    <col min="8" max="8" width="36.7109375" customWidth="1"/>
    <col min="9" max="10" width="7.42578125" customWidth="1"/>
    <col min="11" max="11" width="8.85546875" customWidth="1"/>
    <col min="12" max="12" width="8.42578125" customWidth="1"/>
    <col min="13" max="14" width="6.42578125" customWidth="1"/>
    <col min="15" max="15" width="7.42578125" customWidth="1"/>
    <col min="16" max="16" width="11.7109375" customWidth="1"/>
    <col min="17" max="17" width="18.28515625" customWidth="1"/>
    <col min="18" max="18" width="5.7109375" customWidth="1"/>
    <col min="19" max="19" width="5.5703125" customWidth="1"/>
    <col min="20" max="20" width="6.5703125" customWidth="1"/>
    <col min="21" max="21" width="6.85546875" customWidth="1"/>
    <col min="22" max="22" width="7.7109375" customWidth="1"/>
    <col min="23" max="23" width="6.5703125" customWidth="1"/>
    <col min="24" max="24" width="7.5703125" customWidth="1"/>
    <col min="25" max="26" width="42.85546875" customWidth="1"/>
    <col min="27" max="37" width="11" customWidth="1"/>
  </cols>
  <sheetData>
    <row r="1" spans="1:37" ht="45" customHeight="1">
      <c r="A1" s="31" t="s">
        <v>9</v>
      </c>
      <c r="B1" s="66" t="str">
        <f>HYPERLINK("#rangeid=2086300674","Content Owner")</f>
        <v>Content Owner</v>
      </c>
      <c r="C1" s="67" t="str">
        <f>HYPERLINK("#rangeid=632369931","Video Owner")</f>
        <v>Video Owner</v>
      </c>
      <c r="D1" s="36" t="s">
        <v>87</v>
      </c>
      <c r="E1" s="37" t="s">
        <v>221</v>
      </c>
      <c r="F1" s="38" t="s">
        <v>223</v>
      </c>
      <c r="G1" s="31" t="s">
        <v>230</v>
      </c>
      <c r="H1" s="68" t="str">
        <f>HYPERLINK("#rangeid=906849400","Description")</f>
        <v>Description</v>
      </c>
      <c r="I1" s="41" t="s">
        <v>233</v>
      </c>
      <c r="J1" s="31" t="s">
        <v>234</v>
      </c>
      <c r="K1" s="42" t="s">
        <v>235</v>
      </c>
      <c r="L1" s="31" t="s">
        <v>236</v>
      </c>
      <c r="M1" s="31" t="s">
        <v>237</v>
      </c>
      <c r="N1" s="31" t="s">
        <v>238</v>
      </c>
      <c r="O1" s="31" t="s">
        <v>239</v>
      </c>
      <c r="P1" s="31" t="s">
        <v>240</v>
      </c>
      <c r="Q1" s="31" t="s">
        <v>241</v>
      </c>
      <c r="R1" s="43" t="s">
        <v>242</v>
      </c>
      <c r="S1" s="43" t="s">
        <v>243</v>
      </c>
      <c r="T1" s="43" t="s">
        <v>89</v>
      </c>
      <c r="U1" s="44" t="s">
        <v>244</v>
      </c>
      <c r="V1" s="45" t="s">
        <v>245</v>
      </c>
      <c r="W1" s="46" t="str">
        <f>HYPERLINK("#rangeid=120001109","Replay")</f>
        <v>Replay</v>
      </c>
      <c r="X1" s="47" t="s">
        <v>246</v>
      </c>
      <c r="Y1" s="48" t="s">
        <v>247</v>
      </c>
      <c r="Z1" s="49" t="s">
        <v>248</v>
      </c>
      <c r="AA1" s="50"/>
      <c r="AB1" s="50"/>
      <c r="AC1" s="50"/>
      <c r="AD1" s="50"/>
      <c r="AE1" s="50"/>
      <c r="AF1" s="50"/>
      <c r="AG1" s="50"/>
      <c r="AH1" s="50"/>
      <c r="AI1" s="50"/>
      <c r="AJ1" s="50"/>
      <c r="AK1" s="50"/>
    </row>
    <row r="2" spans="1:37">
      <c r="A2" s="51">
        <v>1</v>
      </c>
      <c r="B2" s="51" t="s">
        <v>97</v>
      </c>
      <c r="C2" s="54"/>
      <c r="D2" s="51" t="s">
        <v>120</v>
      </c>
      <c r="E2" s="51" t="s">
        <v>249</v>
      </c>
      <c r="F2" s="55" t="s">
        <v>250</v>
      </c>
      <c r="G2" s="56" t="s">
        <v>284</v>
      </c>
      <c r="H2" s="57" t="s">
        <v>285</v>
      </c>
      <c r="I2" s="51"/>
      <c r="J2" s="51">
        <f>7*1000</f>
        <v>7000</v>
      </c>
      <c r="K2" s="58">
        <v>9.6296296296296303E-3</v>
      </c>
      <c r="L2" s="59" t="s">
        <v>251</v>
      </c>
      <c r="M2" s="58"/>
      <c r="N2" s="58"/>
      <c r="O2" s="51"/>
      <c r="P2" s="60">
        <v>42989</v>
      </c>
      <c r="Q2" s="37" t="str">
        <f t="shared" ref="Q2:Q104" ca="1" si="0">HYPERLINK(IF(INT(A2)-A2=0,"",REPLACE(INDIRECT("MasterList!e"&amp;INT(A2)+1),25,8,"embed/")&amp;"?start="&amp;HOUR(M2)*3600+MINUTE(M2)*60+SECOND(M2)&amp;"&amp;end="&amp;HOUR(N2)*3600+MINUTE(N2)*60+SECOND(N2)&amp;"&amp;autoplay=1"))</f>
        <v/>
      </c>
      <c r="R2" s="70" t="s">
        <v>94</v>
      </c>
      <c r="S2" s="70" t="s">
        <v>94</v>
      </c>
      <c r="T2" s="70" t="s">
        <v>94</v>
      </c>
      <c r="U2" s="71"/>
      <c r="V2" s="73"/>
      <c r="W2" s="75" t="s">
        <v>292</v>
      </c>
      <c r="X2" s="64"/>
      <c r="Y2" s="51"/>
      <c r="Z2" s="51"/>
    </row>
    <row r="3" spans="1:37">
      <c r="A3" s="51">
        <v>2</v>
      </c>
      <c r="B3" s="51" t="s">
        <v>97</v>
      </c>
      <c r="C3" s="54"/>
      <c r="D3" s="51" t="s">
        <v>120</v>
      </c>
      <c r="E3" s="51" t="s">
        <v>252</v>
      </c>
      <c r="F3" s="55" t="s">
        <v>253</v>
      </c>
      <c r="G3" s="56" t="s">
        <v>295</v>
      </c>
      <c r="H3" s="76" t="s">
        <v>309</v>
      </c>
      <c r="I3" s="51"/>
      <c r="J3" s="51">
        <f>4*1000</f>
        <v>4000</v>
      </c>
      <c r="K3" s="58">
        <v>1.0289351851851852E-2</v>
      </c>
      <c r="L3" s="59" t="s">
        <v>251</v>
      </c>
      <c r="M3" s="58"/>
      <c r="N3" s="58"/>
      <c r="O3" s="51"/>
      <c r="P3" s="60">
        <v>42989</v>
      </c>
      <c r="Q3" s="37" t="str">
        <f t="shared" ca="1" si="0"/>
        <v/>
      </c>
      <c r="R3" s="70" t="s">
        <v>94</v>
      </c>
      <c r="S3" s="70" t="s">
        <v>94</v>
      </c>
      <c r="T3" s="70" t="s">
        <v>94</v>
      </c>
      <c r="U3" s="71"/>
      <c r="V3" s="73"/>
      <c r="W3" s="75" t="s">
        <v>292</v>
      </c>
      <c r="X3" s="64"/>
      <c r="Y3" s="51"/>
      <c r="Z3" s="51"/>
    </row>
    <row r="4" spans="1:37">
      <c r="A4" s="51">
        <v>3</v>
      </c>
      <c r="B4" s="51" t="s">
        <v>97</v>
      </c>
      <c r="C4" s="54"/>
      <c r="D4" s="51" t="s">
        <v>120</v>
      </c>
      <c r="E4" s="51" t="s">
        <v>254</v>
      </c>
      <c r="F4" s="55" t="s">
        <v>255</v>
      </c>
      <c r="G4" s="56" t="s">
        <v>299</v>
      </c>
      <c r="H4" s="57" t="s">
        <v>300</v>
      </c>
      <c r="I4" s="51"/>
      <c r="J4" s="51">
        <f>826</f>
        <v>826</v>
      </c>
      <c r="K4" s="58">
        <v>2.1643518518518518E-3</v>
      </c>
      <c r="L4" s="59" t="s">
        <v>251</v>
      </c>
      <c r="M4" s="58"/>
      <c r="N4" s="58"/>
      <c r="O4" s="51"/>
      <c r="P4" s="60">
        <v>42990</v>
      </c>
      <c r="Q4" s="37" t="str">
        <f t="shared" ca="1" si="0"/>
        <v/>
      </c>
      <c r="R4" s="70" t="s">
        <v>94</v>
      </c>
      <c r="S4" s="70" t="s">
        <v>94</v>
      </c>
      <c r="T4" s="70" t="s">
        <v>94</v>
      </c>
      <c r="U4" s="71"/>
      <c r="V4" s="73"/>
      <c r="W4" s="75" t="s">
        <v>292</v>
      </c>
      <c r="X4" s="64"/>
      <c r="Y4" s="51"/>
      <c r="Z4" s="51"/>
    </row>
    <row r="5" spans="1:37">
      <c r="A5" s="51">
        <v>4</v>
      </c>
      <c r="B5" s="51" t="s">
        <v>97</v>
      </c>
      <c r="C5" s="54"/>
      <c r="D5" s="51" t="s">
        <v>128</v>
      </c>
      <c r="E5" s="51" t="s">
        <v>256</v>
      </c>
      <c r="F5" s="55" t="s">
        <v>257</v>
      </c>
      <c r="G5" s="56" t="s">
        <v>303</v>
      </c>
      <c r="H5" s="57"/>
      <c r="I5" s="51"/>
      <c r="J5" s="51">
        <f>10*1000</f>
        <v>10000</v>
      </c>
      <c r="K5" s="58">
        <v>9.7222222222222209E-4</v>
      </c>
      <c r="L5" s="59" t="s">
        <v>251</v>
      </c>
      <c r="M5" s="58"/>
      <c r="N5" s="58"/>
      <c r="O5" s="51"/>
      <c r="P5" s="60">
        <v>42990</v>
      </c>
      <c r="Q5" s="37" t="str">
        <f t="shared" ca="1" si="0"/>
        <v/>
      </c>
      <c r="R5" s="70" t="s">
        <v>94</v>
      </c>
      <c r="S5" s="70" t="s">
        <v>94</v>
      </c>
      <c r="T5" s="70" t="s">
        <v>121</v>
      </c>
      <c r="U5" s="71"/>
      <c r="V5" s="73"/>
      <c r="W5" s="75" t="s">
        <v>304</v>
      </c>
      <c r="X5" s="64"/>
      <c r="Y5" s="51"/>
      <c r="Z5" s="51"/>
    </row>
    <row r="6" spans="1:37">
      <c r="A6" s="51">
        <v>5</v>
      </c>
      <c r="B6" s="51" t="s">
        <v>97</v>
      </c>
      <c r="C6" s="54"/>
      <c r="D6" s="51" t="s">
        <v>128</v>
      </c>
      <c r="E6" s="51" t="s">
        <v>258</v>
      </c>
      <c r="F6" s="55" t="s">
        <v>259</v>
      </c>
      <c r="G6" s="56" t="s">
        <v>307</v>
      </c>
      <c r="H6" s="57" t="s">
        <v>307</v>
      </c>
      <c r="I6" s="51"/>
      <c r="J6" s="51">
        <f>749</f>
        <v>749</v>
      </c>
      <c r="K6" s="58">
        <v>4.0509259259259258E-4</v>
      </c>
      <c r="L6" s="59" t="s">
        <v>251</v>
      </c>
      <c r="M6" s="58"/>
      <c r="N6" s="58"/>
      <c r="O6" s="51"/>
      <c r="P6" s="60">
        <v>42990</v>
      </c>
      <c r="Q6" s="37" t="str">
        <f t="shared" ca="1" si="0"/>
        <v/>
      </c>
      <c r="R6" s="70" t="s">
        <v>94</v>
      </c>
      <c r="S6" s="70" t="s">
        <v>94</v>
      </c>
      <c r="T6" s="70" t="s">
        <v>121</v>
      </c>
      <c r="U6" s="71"/>
      <c r="V6" s="73"/>
      <c r="W6" s="75" t="s">
        <v>304</v>
      </c>
      <c r="X6" s="64"/>
      <c r="Y6" s="51"/>
      <c r="Z6" s="51"/>
    </row>
    <row r="7" spans="1:37">
      <c r="A7" s="51">
        <v>6</v>
      </c>
      <c r="B7" s="51" t="s">
        <v>97</v>
      </c>
      <c r="C7" s="54"/>
      <c r="D7" s="51" t="s">
        <v>128</v>
      </c>
      <c r="E7" s="51" t="s">
        <v>260</v>
      </c>
      <c r="F7" s="55" t="s">
        <v>261</v>
      </c>
      <c r="G7" s="65" t="s">
        <v>308</v>
      </c>
      <c r="H7" s="57"/>
      <c r="I7" s="51"/>
      <c r="J7" s="51">
        <f>1.7*1000</f>
        <v>1700</v>
      </c>
      <c r="K7" s="58">
        <v>3.9930555555555561E-3</v>
      </c>
      <c r="L7" s="59" t="s">
        <v>251</v>
      </c>
      <c r="M7" s="58"/>
      <c r="N7" s="58"/>
      <c r="O7" s="51"/>
      <c r="P7" s="60">
        <v>42990</v>
      </c>
      <c r="Q7" s="37" t="str">
        <f t="shared" ca="1" si="0"/>
        <v/>
      </c>
      <c r="R7" s="70" t="s">
        <v>94</v>
      </c>
      <c r="S7" s="70" t="s">
        <v>94</v>
      </c>
      <c r="T7" s="70" t="s">
        <v>94</v>
      </c>
      <c r="U7" s="71"/>
      <c r="V7" s="73"/>
      <c r="W7" s="75" t="s">
        <v>304</v>
      </c>
      <c r="X7" s="64"/>
      <c r="Y7" s="51"/>
      <c r="Z7" s="51" t="s">
        <v>312</v>
      </c>
    </row>
    <row r="8" spans="1:37">
      <c r="A8" s="51">
        <v>7</v>
      </c>
      <c r="B8" s="51" t="s">
        <v>97</v>
      </c>
      <c r="C8" s="54"/>
      <c r="D8" s="51" t="s">
        <v>120</v>
      </c>
      <c r="E8" s="51" t="s">
        <v>262</v>
      </c>
      <c r="F8" s="55" t="s">
        <v>263</v>
      </c>
      <c r="G8" s="56" t="s">
        <v>313</v>
      </c>
      <c r="H8" s="57"/>
      <c r="I8" s="51"/>
      <c r="J8" s="51">
        <f>5.1*1000</f>
        <v>5100</v>
      </c>
      <c r="K8" s="58">
        <v>3.3680555555555551E-3</v>
      </c>
      <c r="L8" s="59" t="s">
        <v>251</v>
      </c>
      <c r="M8" s="58"/>
      <c r="N8" s="58"/>
      <c r="O8" s="51"/>
      <c r="P8" s="60">
        <v>42990</v>
      </c>
      <c r="Q8" s="37" t="str">
        <f t="shared" ca="1" si="0"/>
        <v/>
      </c>
      <c r="R8" s="70" t="s">
        <v>94</v>
      </c>
      <c r="S8" s="70" t="s">
        <v>94</v>
      </c>
      <c r="T8" s="70" t="s">
        <v>94</v>
      </c>
      <c r="U8" s="71"/>
      <c r="V8" s="73"/>
      <c r="W8" s="75" t="s">
        <v>304</v>
      </c>
      <c r="X8" s="64"/>
      <c r="Y8" s="51"/>
      <c r="Z8" s="51"/>
    </row>
    <row r="9" spans="1:37">
      <c r="A9" s="51">
        <v>8</v>
      </c>
      <c r="B9" s="51" t="s">
        <v>97</v>
      </c>
      <c r="C9" s="54"/>
      <c r="D9" s="51" t="s">
        <v>120</v>
      </c>
      <c r="E9" s="51" t="s">
        <v>264</v>
      </c>
      <c r="F9" s="55" t="s">
        <v>265</v>
      </c>
      <c r="G9" s="56" t="s">
        <v>316</v>
      </c>
      <c r="H9" s="76" t="s">
        <v>339</v>
      </c>
      <c r="I9" s="51"/>
      <c r="J9" s="51">
        <f>1.9*1000</f>
        <v>1900</v>
      </c>
      <c r="K9" s="58">
        <v>1.037037037037037E-2</v>
      </c>
      <c r="L9" s="59" t="s">
        <v>251</v>
      </c>
      <c r="M9" s="58"/>
      <c r="N9" s="58"/>
      <c r="O9" s="51"/>
      <c r="P9" s="60">
        <v>42990</v>
      </c>
      <c r="Q9" s="37" t="str">
        <f t="shared" ca="1" si="0"/>
        <v/>
      </c>
      <c r="R9" s="70" t="s">
        <v>116</v>
      </c>
      <c r="S9" s="70" t="s">
        <v>94</v>
      </c>
      <c r="T9" s="70" t="s">
        <v>94</v>
      </c>
      <c r="U9" s="71"/>
      <c r="V9" s="73"/>
      <c r="W9" s="75" t="s">
        <v>304</v>
      </c>
      <c r="X9" s="64"/>
      <c r="Y9" s="51"/>
      <c r="Z9" s="51" t="s">
        <v>320</v>
      </c>
    </row>
    <row r="10" spans="1:37">
      <c r="A10" s="54">
        <v>8.01</v>
      </c>
      <c r="B10" s="51" t="s">
        <v>97</v>
      </c>
      <c r="C10" s="54"/>
      <c r="D10" s="51" t="s">
        <v>120</v>
      </c>
      <c r="E10" s="51"/>
      <c r="F10" s="55"/>
      <c r="G10" s="56" t="s">
        <v>321</v>
      </c>
      <c r="H10" s="57"/>
      <c r="I10" s="51"/>
      <c r="J10" s="51"/>
      <c r="K10" s="58"/>
      <c r="L10" s="59"/>
      <c r="M10" s="58">
        <v>2.0254629629629629E-3</v>
      </c>
      <c r="N10" s="58">
        <v>4.0393518518518521E-3</v>
      </c>
      <c r="O10" s="77">
        <f>N10-M10</f>
        <v>2.0138888888888893E-3</v>
      </c>
      <c r="P10" s="60">
        <v>42990</v>
      </c>
      <c r="Q10" s="79" t="str">
        <f t="shared" ca="1" si="0"/>
        <v>https://www.youtube.com/embed/mjFek0gF97s?start=175&amp;end=349&amp;autoplay=1</v>
      </c>
      <c r="R10" s="70" t="s">
        <v>94</v>
      </c>
      <c r="S10" s="70" t="s">
        <v>116</v>
      </c>
      <c r="T10" s="70" t="s">
        <v>94</v>
      </c>
      <c r="U10" s="71"/>
      <c r="V10" s="73"/>
      <c r="W10" s="75" t="s">
        <v>304</v>
      </c>
      <c r="X10" s="64"/>
      <c r="Y10" s="51"/>
      <c r="Z10" s="51" t="s">
        <v>324</v>
      </c>
    </row>
    <row r="11" spans="1:37">
      <c r="A11" s="51">
        <v>9</v>
      </c>
      <c r="B11" s="51" t="s">
        <v>97</v>
      </c>
      <c r="C11" s="54"/>
      <c r="D11" s="51" t="s">
        <v>120</v>
      </c>
      <c r="E11" s="51" t="s">
        <v>266</v>
      </c>
      <c r="F11" s="55" t="s">
        <v>267</v>
      </c>
      <c r="G11" s="56" t="s">
        <v>327</v>
      </c>
      <c r="H11" s="57" t="s">
        <v>328</v>
      </c>
      <c r="I11" s="51"/>
      <c r="J11" s="51">
        <f>1.7*1000</f>
        <v>1700</v>
      </c>
      <c r="K11" s="58">
        <v>3.472222222222222E-3</v>
      </c>
      <c r="L11" s="59" t="s">
        <v>251</v>
      </c>
      <c r="M11" s="58"/>
      <c r="N11" s="58"/>
      <c r="O11" s="51"/>
      <c r="P11" s="60">
        <v>42990</v>
      </c>
      <c r="Q11" s="37" t="str">
        <f t="shared" ca="1" si="0"/>
        <v/>
      </c>
      <c r="R11" s="70" t="s">
        <v>94</v>
      </c>
      <c r="S11" s="70" t="s">
        <v>94</v>
      </c>
      <c r="T11" s="70" t="s">
        <v>94</v>
      </c>
      <c r="U11" s="71"/>
      <c r="V11" s="73"/>
      <c r="W11" s="75" t="s">
        <v>292</v>
      </c>
      <c r="X11" s="64"/>
      <c r="Y11" s="51"/>
      <c r="Z11" s="51" t="s">
        <v>352</v>
      </c>
    </row>
    <row r="12" spans="1:37">
      <c r="A12" s="51">
        <v>10</v>
      </c>
      <c r="B12" s="51" t="s">
        <v>97</v>
      </c>
      <c r="C12" s="54"/>
      <c r="D12" s="51" t="s">
        <v>120</v>
      </c>
      <c r="E12" s="51" t="s">
        <v>268</v>
      </c>
      <c r="F12" s="55" t="s">
        <v>269</v>
      </c>
      <c r="G12" s="56" t="s">
        <v>330</v>
      </c>
      <c r="H12" s="57" t="s">
        <v>331</v>
      </c>
      <c r="I12" s="51"/>
      <c r="J12" s="51">
        <f>490</f>
        <v>490</v>
      </c>
      <c r="K12" s="58">
        <v>3.0324074074074073E-3</v>
      </c>
      <c r="L12" s="59" t="s">
        <v>251</v>
      </c>
      <c r="M12" s="58"/>
      <c r="N12" s="58"/>
      <c r="O12" s="51"/>
      <c r="P12" s="60">
        <v>42990</v>
      </c>
      <c r="Q12" s="37" t="str">
        <f t="shared" ca="1" si="0"/>
        <v/>
      </c>
      <c r="R12" s="70" t="s">
        <v>94</v>
      </c>
      <c r="S12" s="70" t="s">
        <v>94</v>
      </c>
      <c r="T12" s="70" t="s">
        <v>94</v>
      </c>
      <c r="U12" s="71"/>
      <c r="V12" s="73"/>
      <c r="W12" s="75" t="s">
        <v>292</v>
      </c>
      <c r="X12" s="64"/>
      <c r="Y12" s="51"/>
      <c r="Z12" s="51"/>
    </row>
    <row r="13" spans="1:37">
      <c r="A13" s="54">
        <v>10.01</v>
      </c>
      <c r="B13" s="51" t="s">
        <v>97</v>
      </c>
      <c r="C13" s="54"/>
      <c r="D13" s="51" t="s">
        <v>120</v>
      </c>
      <c r="E13" s="51"/>
      <c r="F13" s="55"/>
      <c r="G13" s="56" t="s">
        <v>334</v>
      </c>
      <c r="H13" s="57"/>
      <c r="I13" s="51"/>
      <c r="J13" s="51"/>
      <c r="K13" s="58"/>
      <c r="L13" s="59"/>
      <c r="M13" s="58">
        <v>1.0300925925925926E-3</v>
      </c>
      <c r="N13" s="58">
        <v>1.4467592592592594E-3</v>
      </c>
      <c r="O13" s="77">
        <f>N13-M13</f>
        <v>4.1666666666666675E-4</v>
      </c>
      <c r="P13" s="60">
        <v>42990</v>
      </c>
      <c r="Q13" s="79" t="str">
        <f t="shared" ca="1" si="0"/>
        <v>https://www.youtube.com/embed/Kxuiy8OL30w?start=89&amp;end=125&amp;autoplay=1</v>
      </c>
      <c r="R13" s="70" t="s">
        <v>94</v>
      </c>
      <c r="S13" s="70" t="s">
        <v>94</v>
      </c>
      <c r="T13" s="70" t="s">
        <v>94</v>
      </c>
      <c r="U13" s="71"/>
      <c r="V13" s="73"/>
      <c r="W13" s="75" t="s">
        <v>292</v>
      </c>
      <c r="X13" s="64"/>
      <c r="Y13" s="51"/>
      <c r="Z13" s="51"/>
    </row>
    <row r="14" spans="1:37">
      <c r="A14" s="51">
        <v>11</v>
      </c>
      <c r="B14" s="51" t="s">
        <v>97</v>
      </c>
      <c r="C14" s="54"/>
      <c r="D14" s="51" t="s">
        <v>120</v>
      </c>
      <c r="E14" s="51" t="s">
        <v>270</v>
      </c>
      <c r="F14" s="55" t="s">
        <v>271</v>
      </c>
      <c r="G14" s="80" t="s">
        <v>362</v>
      </c>
      <c r="H14" s="76" t="s">
        <v>363</v>
      </c>
      <c r="I14" s="51"/>
      <c r="J14" s="51">
        <f>551</f>
        <v>551</v>
      </c>
      <c r="K14" s="58">
        <v>2.4189814814814816E-3</v>
      </c>
      <c r="L14" s="59" t="s">
        <v>251</v>
      </c>
      <c r="M14" s="58"/>
      <c r="N14" s="58"/>
      <c r="O14" s="51"/>
      <c r="P14" s="60">
        <v>42991</v>
      </c>
      <c r="Q14" s="37" t="str">
        <f t="shared" ca="1" si="0"/>
        <v/>
      </c>
      <c r="R14" s="70" t="s">
        <v>94</v>
      </c>
      <c r="S14" s="70" t="s">
        <v>94</v>
      </c>
      <c r="T14" s="70" t="s">
        <v>94</v>
      </c>
      <c r="U14" s="71"/>
      <c r="V14" s="73"/>
      <c r="W14" s="75" t="s">
        <v>304</v>
      </c>
      <c r="X14" s="64"/>
      <c r="Y14" s="51"/>
      <c r="Z14" s="51" t="s">
        <v>312</v>
      </c>
    </row>
    <row r="15" spans="1:37">
      <c r="A15" s="51">
        <v>12</v>
      </c>
      <c r="B15" s="51" t="s">
        <v>97</v>
      </c>
      <c r="C15" s="54"/>
      <c r="D15" s="51" t="s">
        <v>120</v>
      </c>
      <c r="E15" s="51" t="s">
        <v>272</v>
      </c>
      <c r="F15" s="55" t="s">
        <v>273</v>
      </c>
      <c r="G15" s="57" t="s">
        <v>342</v>
      </c>
      <c r="H15" s="56" t="s">
        <v>343</v>
      </c>
      <c r="I15" s="56"/>
      <c r="J15" s="56">
        <v>384</v>
      </c>
      <c r="K15" s="58">
        <v>2.2222222222222222E-3</v>
      </c>
      <c r="L15" s="59" t="s">
        <v>251</v>
      </c>
      <c r="M15" s="58"/>
      <c r="N15" s="58"/>
      <c r="O15" s="51"/>
      <c r="P15" s="60">
        <v>42991</v>
      </c>
      <c r="Q15" s="37" t="str">
        <f t="shared" ca="1" si="0"/>
        <v/>
      </c>
      <c r="R15" s="70" t="s">
        <v>94</v>
      </c>
      <c r="S15" s="70" t="s">
        <v>94</v>
      </c>
      <c r="T15" s="70" t="s">
        <v>94</v>
      </c>
      <c r="U15" s="71"/>
      <c r="V15" s="73"/>
      <c r="W15" s="75" t="s">
        <v>304</v>
      </c>
      <c r="X15" s="64"/>
      <c r="Y15" s="51"/>
      <c r="Z15" s="51" t="s">
        <v>312</v>
      </c>
    </row>
    <row r="16" spans="1:37">
      <c r="A16" s="51">
        <v>13</v>
      </c>
      <c r="B16" s="51" t="s">
        <v>97</v>
      </c>
      <c r="C16" s="54"/>
      <c r="D16" s="51" t="s">
        <v>120</v>
      </c>
      <c r="E16" s="51" t="s">
        <v>274</v>
      </c>
      <c r="F16" s="55" t="s">
        <v>275</v>
      </c>
      <c r="G16" s="51" t="s">
        <v>344</v>
      </c>
      <c r="H16" s="57" t="s">
        <v>345</v>
      </c>
      <c r="I16" s="51"/>
      <c r="J16" s="51">
        <f>1.5*1000</f>
        <v>1500</v>
      </c>
      <c r="K16" s="58">
        <v>3.530092592592592E-3</v>
      </c>
      <c r="L16" s="59" t="s">
        <v>251</v>
      </c>
      <c r="M16" s="58"/>
      <c r="N16" s="58"/>
      <c r="O16" s="51"/>
      <c r="P16" s="60">
        <v>42991</v>
      </c>
      <c r="Q16" s="37" t="str">
        <f t="shared" ca="1" si="0"/>
        <v/>
      </c>
      <c r="R16" s="70" t="s">
        <v>94</v>
      </c>
      <c r="S16" s="70" t="s">
        <v>94</v>
      </c>
      <c r="T16" s="70" t="s">
        <v>94</v>
      </c>
      <c r="U16" s="71"/>
      <c r="V16" s="73"/>
      <c r="W16" s="75" t="s">
        <v>304</v>
      </c>
      <c r="X16" s="64"/>
      <c r="Y16" s="51"/>
      <c r="Z16" s="51" t="s">
        <v>312</v>
      </c>
    </row>
    <row r="17" spans="1:33">
      <c r="A17" s="51">
        <v>14</v>
      </c>
      <c r="B17" s="51" t="s">
        <v>97</v>
      </c>
      <c r="C17" s="54"/>
      <c r="D17" s="51" t="s">
        <v>120</v>
      </c>
      <c r="E17" s="51" t="s">
        <v>276</v>
      </c>
      <c r="F17" s="55" t="s">
        <v>277</v>
      </c>
      <c r="G17" s="56" t="s">
        <v>348</v>
      </c>
      <c r="H17" s="57"/>
      <c r="I17" s="51"/>
      <c r="J17" s="51">
        <f>595</f>
        <v>595</v>
      </c>
      <c r="K17" s="58">
        <v>4.0740740740740746E-3</v>
      </c>
      <c r="L17" s="59" t="s">
        <v>251</v>
      </c>
      <c r="M17" s="58"/>
      <c r="N17" s="58"/>
      <c r="O17" s="51"/>
      <c r="P17" s="60">
        <v>42991</v>
      </c>
      <c r="Q17" s="37" t="str">
        <f t="shared" ca="1" si="0"/>
        <v/>
      </c>
      <c r="R17" s="70" t="s">
        <v>94</v>
      </c>
      <c r="S17" s="70" t="s">
        <v>94</v>
      </c>
      <c r="T17" s="70" t="s">
        <v>94</v>
      </c>
      <c r="U17" s="71"/>
      <c r="V17" s="73"/>
      <c r="W17" s="75" t="s">
        <v>304</v>
      </c>
      <c r="X17" s="64"/>
      <c r="Y17" s="51"/>
      <c r="Z17" s="51" t="s">
        <v>312</v>
      </c>
    </row>
    <row r="18" spans="1:33">
      <c r="A18" s="51">
        <v>15</v>
      </c>
      <c r="B18" s="51" t="s">
        <v>97</v>
      </c>
      <c r="C18" s="54"/>
      <c r="D18" s="51" t="s">
        <v>120</v>
      </c>
      <c r="E18" s="51" t="s">
        <v>278</v>
      </c>
      <c r="F18" s="55" t="s">
        <v>279</v>
      </c>
      <c r="G18" s="56" t="s">
        <v>351</v>
      </c>
      <c r="H18" s="57"/>
      <c r="I18" s="51"/>
      <c r="J18" s="51">
        <f>477</f>
        <v>477</v>
      </c>
      <c r="K18" s="58">
        <v>2.673611111111111E-3</v>
      </c>
      <c r="L18" s="59" t="s">
        <v>251</v>
      </c>
      <c r="M18" s="58"/>
      <c r="N18" s="58"/>
      <c r="O18" s="51"/>
      <c r="P18" s="60">
        <v>42991</v>
      </c>
      <c r="Q18" s="37" t="str">
        <f t="shared" ca="1" si="0"/>
        <v/>
      </c>
      <c r="R18" s="70" t="s">
        <v>94</v>
      </c>
      <c r="S18" s="70" t="s">
        <v>94</v>
      </c>
      <c r="T18" s="70" t="s">
        <v>94</v>
      </c>
      <c r="U18" s="71"/>
      <c r="V18" s="73"/>
      <c r="W18" s="75" t="s">
        <v>304</v>
      </c>
      <c r="X18" s="64"/>
      <c r="Y18" s="51"/>
      <c r="Z18" s="51"/>
    </row>
    <row r="19" spans="1:33">
      <c r="A19" s="51">
        <v>16</v>
      </c>
      <c r="B19" s="51" t="s">
        <v>97</v>
      </c>
      <c r="C19" s="54"/>
      <c r="D19" s="51" t="s">
        <v>120</v>
      </c>
      <c r="E19" s="51" t="s">
        <v>280</v>
      </c>
      <c r="F19" s="55" t="s">
        <v>281</v>
      </c>
      <c r="G19" s="56" t="s">
        <v>353</v>
      </c>
      <c r="H19" s="57" t="s">
        <v>354</v>
      </c>
      <c r="I19" s="51"/>
      <c r="J19" s="51">
        <f>506</f>
        <v>506</v>
      </c>
      <c r="K19" s="58">
        <v>5.7175925925925927E-3</v>
      </c>
      <c r="L19" s="59" t="s">
        <v>251</v>
      </c>
      <c r="M19" s="58"/>
      <c r="N19" s="58"/>
      <c r="O19" s="51"/>
      <c r="P19" s="60">
        <v>42991</v>
      </c>
      <c r="Q19" s="37" t="str">
        <f t="shared" ca="1" si="0"/>
        <v/>
      </c>
      <c r="R19" s="70" t="s">
        <v>94</v>
      </c>
      <c r="S19" s="70" t="s">
        <v>94</v>
      </c>
      <c r="T19" s="70" t="s">
        <v>94</v>
      </c>
      <c r="U19" s="71"/>
      <c r="V19" s="73"/>
      <c r="W19" s="75" t="s">
        <v>304</v>
      </c>
      <c r="X19" s="64"/>
      <c r="Y19" s="51"/>
      <c r="Z19" s="51" t="s">
        <v>357</v>
      </c>
    </row>
    <row r="20" spans="1:33">
      <c r="A20" s="51">
        <v>59</v>
      </c>
      <c r="B20" s="51" t="s">
        <v>97</v>
      </c>
      <c r="C20" s="54"/>
      <c r="D20" s="51" t="s">
        <v>120</v>
      </c>
      <c r="E20" s="51" t="s">
        <v>382</v>
      </c>
      <c r="F20" s="55" t="s">
        <v>383</v>
      </c>
      <c r="G20" s="56"/>
      <c r="H20" s="57"/>
      <c r="I20" s="51"/>
      <c r="J20" s="51">
        <f>3.6*1000</f>
        <v>3600</v>
      </c>
      <c r="K20" s="58">
        <v>3.6516203703703703E-2</v>
      </c>
      <c r="L20" s="59" t="s">
        <v>251</v>
      </c>
      <c r="M20" s="58"/>
      <c r="N20" s="58"/>
      <c r="O20" s="51"/>
      <c r="P20" s="51">
        <v>42989</v>
      </c>
      <c r="Q20" s="37" t="str">
        <f t="shared" ca="1" si="0"/>
        <v/>
      </c>
      <c r="R20" s="70" t="s">
        <v>94</v>
      </c>
      <c r="S20" s="70" t="s">
        <v>94</v>
      </c>
      <c r="T20" s="70" t="s">
        <v>94</v>
      </c>
      <c r="U20" s="71"/>
      <c r="V20" s="73"/>
      <c r="W20" s="75" t="s">
        <v>292</v>
      </c>
      <c r="X20" s="64"/>
      <c r="Y20" s="51"/>
      <c r="Z20" s="51"/>
    </row>
    <row r="21" spans="1:33">
      <c r="A21" s="51">
        <v>59.01</v>
      </c>
      <c r="B21" s="51" t="s">
        <v>97</v>
      </c>
      <c r="C21" s="54"/>
      <c r="D21" s="51" t="s">
        <v>120</v>
      </c>
      <c r="E21" s="51"/>
      <c r="F21" s="55"/>
      <c r="G21" s="56" t="s">
        <v>386</v>
      </c>
      <c r="H21" s="57" t="s">
        <v>387</v>
      </c>
      <c r="I21" s="51"/>
      <c r="J21" s="51"/>
      <c r="K21" s="58"/>
      <c r="L21" s="59"/>
      <c r="M21" s="58">
        <v>0</v>
      </c>
      <c r="N21" s="58">
        <v>5.208333333333333E-3</v>
      </c>
      <c r="O21" s="58">
        <f t="shared" ref="O21:O34" si="1">N21-M21</f>
        <v>5.208333333333333E-3</v>
      </c>
      <c r="P21" s="51">
        <v>42989</v>
      </c>
      <c r="Q21" s="79" t="str">
        <f t="shared" ca="1" si="0"/>
        <v>https://www.youtube.com/embed/ByaheAphduQ?start=0&amp;end=450&amp;autoplay=1</v>
      </c>
      <c r="R21" s="70" t="s">
        <v>94</v>
      </c>
      <c r="S21" s="70" t="s">
        <v>94</v>
      </c>
      <c r="T21" s="70" t="s">
        <v>94</v>
      </c>
      <c r="U21" s="71"/>
      <c r="V21" s="73"/>
      <c r="W21" s="75" t="s">
        <v>292</v>
      </c>
      <c r="X21" s="64"/>
      <c r="Y21" s="51"/>
      <c r="Z21" s="51"/>
    </row>
    <row r="22" spans="1:33">
      <c r="A22" s="51">
        <v>59.02</v>
      </c>
      <c r="B22" s="51" t="s">
        <v>97</v>
      </c>
      <c r="C22" s="51"/>
      <c r="D22" s="51" t="s">
        <v>120</v>
      </c>
      <c r="E22" s="51"/>
      <c r="F22" s="55"/>
      <c r="G22" s="56" t="s">
        <v>394</v>
      </c>
      <c r="H22" s="57" t="s">
        <v>395</v>
      </c>
      <c r="I22" s="51"/>
      <c r="J22" s="51"/>
      <c r="K22" s="58"/>
      <c r="L22" s="59"/>
      <c r="M22" s="58">
        <v>6.1921296296296299E-3</v>
      </c>
      <c r="N22" s="58">
        <v>1.1064814814814814E-2</v>
      </c>
      <c r="O22" s="58">
        <f t="shared" si="1"/>
        <v>4.8726851851851839E-3</v>
      </c>
      <c r="P22" s="51">
        <v>42989</v>
      </c>
      <c r="Q22" s="79" t="str">
        <f t="shared" ca="1" si="0"/>
        <v>https://www.youtube.com/embed/ByaheAphduQ?start=535&amp;end=956&amp;autoplay=1</v>
      </c>
      <c r="R22" s="70" t="s">
        <v>94</v>
      </c>
      <c r="S22" s="70" t="s">
        <v>94</v>
      </c>
      <c r="T22" s="70" t="s">
        <v>94</v>
      </c>
      <c r="U22" s="71"/>
      <c r="V22" s="73"/>
      <c r="W22" s="75" t="s">
        <v>292</v>
      </c>
      <c r="X22" s="64"/>
      <c r="Y22" s="51"/>
      <c r="Z22" s="51"/>
    </row>
    <row r="23" spans="1:33">
      <c r="A23" s="51">
        <v>59.03</v>
      </c>
      <c r="B23" s="51" t="s">
        <v>97</v>
      </c>
      <c r="C23" s="54"/>
      <c r="D23" s="51" t="s">
        <v>120</v>
      </c>
      <c r="E23" s="51"/>
      <c r="F23" s="55"/>
      <c r="G23" s="56" t="s">
        <v>398</v>
      </c>
      <c r="H23" s="57" t="s">
        <v>399</v>
      </c>
      <c r="I23" s="51"/>
      <c r="J23" s="51"/>
      <c r="K23" s="58"/>
      <c r="L23" s="59"/>
      <c r="M23" s="58">
        <v>1.2615740740740742E-2</v>
      </c>
      <c r="N23" s="58">
        <v>1.3877314814814815E-2</v>
      </c>
      <c r="O23" s="58">
        <f t="shared" si="1"/>
        <v>1.2615740740740729E-3</v>
      </c>
      <c r="P23" s="81">
        <v>42989</v>
      </c>
      <c r="Q23" s="79" t="str">
        <f t="shared" ca="1" si="0"/>
        <v>https://www.youtube.com/embed/ByaheAphduQ?start=1090&amp;end=1199&amp;autoplay=1</v>
      </c>
      <c r="R23" s="70" t="s">
        <v>94</v>
      </c>
      <c r="S23" s="70" t="s">
        <v>94</v>
      </c>
      <c r="T23" s="70" t="s">
        <v>94</v>
      </c>
      <c r="U23" s="71"/>
      <c r="V23" s="73"/>
      <c r="W23" s="75" t="s">
        <v>292</v>
      </c>
      <c r="X23" s="64"/>
      <c r="Y23" s="51"/>
      <c r="Z23" s="51"/>
      <c r="AA23" s="82"/>
      <c r="AB23" s="82"/>
      <c r="AC23" s="82"/>
      <c r="AD23" s="82"/>
      <c r="AE23" s="82"/>
      <c r="AF23" s="82"/>
      <c r="AG23" s="82"/>
    </row>
    <row r="24" spans="1:33">
      <c r="A24" s="54">
        <v>59.04</v>
      </c>
      <c r="B24" s="51" t="s">
        <v>97</v>
      </c>
      <c r="C24" s="54"/>
      <c r="D24" s="51" t="s">
        <v>120</v>
      </c>
      <c r="E24" s="51"/>
      <c r="F24" s="55"/>
      <c r="G24" s="56" t="s">
        <v>403</v>
      </c>
      <c r="H24" s="76" t="s">
        <v>405</v>
      </c>
      <c r="I24" s="51"/>
      <c r="J24" s="51"/>
      <c r="K24" s="58"/>
      <c r="L24" s="59"/>
      <c r="M24" s="58">
        <v>1.3946759259259258E-2</v>
      </c>
      <c r="N24" s="58">
        <v>1.4814814814814814E-2</v>
      </c>
      <c r="O24" s="77">
        <f t="shared" si="1"/>
        <v>8.6805555555555594E-4</v>
      </c>
      <c r="P24" s="81">
        <v>42989</v>
      </c>
      <c r="Q24" s="79" t="str">
        <f t="shared" ca="1" si="0"/>
        <v>https://www.youtube.com/embed/ByaheAphduQ?start=1205&amp;end=1280&amp;autoplay=1</v>
      </c>
      <c r="R24" s="74" t="s">
        <v>94</v>
      </c>
      <c r="S24" s="74" t="s">
        <v>94</v>
      </c>
      <c r="T24" s="74" t="s">
        <v>94</v>
      </c>
      <c r="U24" s="84"/>
      <c r="V24" s="73"/>
      <c r="W24" s="75" t="s">
        <v>292</v>
      </c>
      <c r="X24" s="64"/>
      <c r="Y24" s="51"/>
      <c r="Z24" s="51"/>
      <c r="AA24" s="82"/>
      <c r="AB24" s="82"/>
      <c r="AC24" s="82"/>
      <c r="AD24" s="82"/>
      <c r="AE24" s="82"/>
      <c r="AF24" s="82"/>
      <c r="AG24" s="82"/>
    </row>
    <row r="25" spans="1:33">
      <c r="A25" s="54">
        <v>59.05</v>
      </c>
      <c r="B25" s="51" t="s">
        <v>97</v>
      </c>
      <c r="C25" s="54"/>
      <c r="D25" s="51" t="s">
        <v>120</v>
      </c>
      <c r="E25" s="51"/>
      <c r="F25" s="55"/>
      <c r="G25" s="80" t="s">
        <v>410</v>
      </c>
      <c r="H25" s="56" t="s">
        <v>411</v>
      </c>
      <c r="I25" s="51"/>
      <c r="J25" s="51"/>
      <c r="K25" s="58"/>
      <c r="L25" s="59"/>
      <c r="M25" s="58">
        <v>1.4837962962962963E-2</v>
      </c>
      <c r="N25" s="58">
        <v>1.6319444444444445E-2</v>
      </c>
      <c r="O25" s="77">
        <f t="shared" si="1"/>
        <v>1.4814814814814829E-3</v>
      </c>
      <c r="P25" s="81">
        <v>42989</v>
      </c>
      <c r="Q25" s="79" t="str">
        <f t="shared" ca="1" si="0"/>
        <v>https://www.youtube.com/embed/ByaheAphduQ?start=1282&amp;end=1410&amp;autoplay=1</v>
      </c>
      <c r="R25" s="74" t="s">
        <v>94</v>
      </c>
      <c r="S25" s="74" t="s">
        <v>94</v>
      </c>
      <c r="T25" s="74" t="s">
        <v>94</v>
      </c>
      <c r="U25" s="84"/>
      <c r="V25" s="73"/>
      <c r="W25" s="75" t="s">
        <v>292</v>
      </c>
      <c r="X25" s="64"/>
      <c r="Y25" s="51"/>
      <c r="Z25" s="51"/>
      <c r="AA25" s="82"/>
      <c r="AB25" s="82"/>
      <c r="AC25" s="82"/>
      <c r="AD25" s="82"/>
      <c r="AE25" s="82"/>
      <c r="AF25" s="82"/>
      <c r="AG25" s="82"/>
    </row>
    <row r="26" spans="1:33">
      <c r="A26" s="54">
        <v>59.06</v>
      </c>
      <c r="B26" s="51" t="s">
        <v>97</v>
      </c>
      <c r="C26" s="54"/>
      <c r="D26" s="51" t="s">
        <v>120</v>
      </c>
      <c r="E26" s="51"/>
      <c r="F26" s="55"/>
      <c r="G26" s="56" t="s">
        <v>415</v>
      </c>
      <c r="H26" s="76"/>
      <c r="I26" s="51"/>
      <c r="J26" s="51"/>
      <c r="K26" s="58"/>
      <c r="L26" s="59"/>
      <c r="M26" s="58">
        <v>1.6782407407407409E-2</v>
      </c>
      <c r="N26" s="58">
        <v>1.8749999999999999E-2</v>
      </c>
      <c r="O26" s="77">
        <f t="shared" si="1"/>
        <v>1.9675925925925902E-3</v>
      </c>
      <c r="P26" s="81">
        <v>42989</v>
      </c>
      <c r="Q26" s="79" t="str">
        <f t="shared" ca="1" si="0"/>
        <v>https://www.youtube.com/embed/ByaheAphduQ?start=1450&amp;end=1620&amp;autoplay=1</v>
      </c>
      <c r="R26" s="74" t="s">
        <v>94</v>
      </c>
      <c r="S26" s="74" t="s">
        <v>94</v>
      </c>
      <c r="T26" s="74" t="s">
        <v>94</v>
      </c>
      <c r="U26" s="71"/>
      <c r="V26" s="73"/>
      <c r="W26" s="75" t="s">
        <v>292</v>
      </c>
      <c r="X26" s="64"/>
      <c r="Y26" s="51"/>
      <c r="Z26" s="51"/>
      <c r="AA26" s="82"/>
      <c r="AB26" s="82"/>
      <c r="AC26" s="82"/>
      <c r="AD26" s="82"/>
      <c r="AE26" s="82"/>
      <c r="AF26" s="82"/>
      <c r="AG26" s="82"/>
    </row>
    <row r="27" spans="1:33">
      <c r="A27" s="51">
        <v>59.07</v>
      </c>
      <c r="B27" s="51" t="s">
        <v>97</v>
      </c>
      <c r="C27" s="54"/>
      <c r="D27" s="51" t="s">
        <v>120</v>
      </c>
      <c r="E27" s="51"/>
      <c r="F27" s="55"/>
      <c r="G27" s="56" t="s">
        <v>420</v>
      </c>
      <c r="H27" s="57"/>
      <c r="I27" s="51"/>
      <c r="J27" s="51"/>
      <c r="K27" s="58"/>
      <c r="L27" s="59"/>
      <c r="M27" s="58">
        <v>1.9490740740740743E-2</v>
      </c>
      <c r="N27" s="58">
        <v>2.071759259259259E-2</v>
      </c>
      <c r="O27" s="58">
        <f t="shared" si="1"/>
        <v>1.226851851851847E-3</v>
      </c>
      <c r="P27" s="51">
        <v>42989</v>
      </c>
      <c r="Q27" s="79" t="str">
        <f t="shared" ca="1" si="0"/>
        <v>https://www.youtube.com/embed/ByaheAphduQ?start=1684&amp;end=1790&amp;autoplay=1</v>
      </c>
      <c r="R27" s="70" t="s">
        <v>94</v>
      </c>
      <c r="S27" s="70" t="s">
        <v>94</v>
      </c>
      <c r="T27" s="70" t="s">
        <v>94</v>
      </c>
      <c r="U27" s="71"/>
      <c r="V27" s="73"/>
      <c r="W27" s="75" t="s">
        <v>292</v>
      </c>
      <c r="X27" s="64"/>
      <c r="Y27" s="51"/>
      <c r="Z27" s="51"/>
    </row>
    <row r="28" spans="1:33">
      <c r="A28" s="51">
        <v>59.08</v>
      </c>
      <c r="B28" s="51" t="s">
        <v>97</v>
      </c>
      <c r="C28" s="54"/>
      <c r="D28" s="51" t="s">
        <v>120</v>
      </c>
      <c r="E28" s="51"/>
      <c r="F28" s="55"/>
      <c r="G28" s="56" t="s">
        <v>428</v>
      </c>
      <c r="H28" s="57" t="s">
        <v>429</v>
      </c>
      <c r="I28" s="51"/>
      <c r="J28" s="51"/>
      <c r="K28" s="58"/>
      <c r="L28" s="59"/>
      <c r="M28" s="58">
        <v>2.1122685185185185E-2</v>
      </c>
      <c r="N28" s="58">
        <v>2.1701388888888892E-2</v>
      </c>
      <c r="O28" s="58">
        <f t="shared" si="1"/>
        <v>5.7870370370370627E-4</v>
      </c>
      <c r="P28" s="81">
        <v>42989</v>
      </c>
      <c r="Q28" s="79" t="str">
        <f t="shared" ca="1" si="0"/>
        <v>https://www.youtube.com/embed/ByaheAphduQ?start=1825&amp;end=1875&amp;autoplay=1</v>
      </c>
      <c r="R28" s="70" t="s">
        <v>94</v>
      </c>
      <c r="S28" s="70" t="s">
        <v>94</v>
      </c>
      <c r="T28" s="70" t="s">
        <v>94</v>
      </c>
      <c r="U28" s="71"/>
      <c r="V28" s="73"/>
      <c r="W28" s="75" t="s">
        <v>292</v>
      </c>
      <c r="X28" s="64"/>
      <c r="Y28" s="51"/>
      <c r="Z28" s="51"/>
      <c r="AA28" s="82"/>
      <c r="AB28" s="82"/>
      <c r="AC28" s="82"/>
      <c r="AD28" s="82"/>
      <c r="AE28" s="82"/>
      <c r="AF28" s="82"/>
      <c r="AG28" s="82"/>
    </row>
    <row r="29" spans="1:33">
      <c r="A29" s="54">
        <v>59.09</v>
      </c>
      <c r="B29" s="51" t="s">
        <v>97</v>
      </c>
      <c r="C29" s="54"/>
      <c r="D29" s="51" t="s">
        <v>120</v>
      </c>
      <c r="E29" s="51"/>
      <c r="F29" s="55"/>
      <c r="G29" s="56" t="s">
        <v>432</v>
      </c>
      <c r="H29" s="76" t="s">
        <v>433</v>
      </c>
      <c r="I29" s="51"/>
      <c r="J29" s="51"/>
      <c r="K29" s="58"/>
      <c r="L29" s="59"/>
      <c r="M29" s="58">
        <v>2.2800925925925929E-2</v>
      </c>
      <c r="N29" s="58">
        <v>2.4212962962962964E-2</v>
      </c>
      <c r="O29" s="77">
        <f t="shared" si="1"/>
        <v>1.4120370370370346E-3</v>
      </c>
      <c r="P29" s="81">
        <v>42989</v>
      </c>
      <c r="Q29" s="79" t="str">
        <f t="shared" ca="1" si="0"/>
        <v>https://www.youtube.com/embed/ByaheAphduQ?start=1970&amp;end=2092&amp;autoplay=1</v>
      </c>
      <c r="R29" s="74" t="s">
        <v>94</v>
      </c>
      <c r="S29" s="74" t="s">
        <v>94</v>
      </c>
      <c r="T29" s="74" t="s">
        <v>94</v>
      </c>
      <c r="U29" s="71"/>
      <c r="V29" s="73"/>
      <c r="W29" s="75" t="s">
        <v>292</v>
      </c>
      <c r="X29" s="64"/>
      <c r="Y29" s="51"/>
      <c r="Z29" s="51"/>
      <c r="AA29" s="82"/>
      <c r="AB29" s="82"/>
      <c r="AC29" s="82"/>
      <c r="AD29" s="82"/>
      <c r="AE29" s="82"/>
      <c r="AF29" s="82"/>
      <c r="AG29" s="82"/>
    </row>
    <row r="30" spans="1:33">
      <c r="A30" s="54">
        <v>59.1</v>
      </c>
      <c r="B30" s="51" t="s">
        <v>97</v>
      </c>
      <c r="C30" s="54"/>
      <c r="D30" s="51" t="s">
        <v>120</v>
      </c>
      <c r="E30" s="51"/>
      <c r="F30" s="55"/>
      <c r="G30" s="56" t="s">
        <v>436</v>
      </c>
      <c r="H30" s="76"/>
      <c r="I30" s="51"/>
      <c r="J30" s="51"/>
      <c r="K30" s="58"/>
      <c r="L30" s="59"/>
      <c r="M30" s="58">
        <v>2.4999999999999998E-2</v>
      </c>
      <c r="N30" s="58">
        <v>2.659722222222222E-2</v>
      </c>
      <c r="O30" s="77">
        <f t="shared" si="1"/>
        <v>1.5972222222222221E-3</v>
      </c>
      <c r="P30" s="81">
        <v>42989</v>
      </c>
      <c r="Q30" s="79" t="str">
        <f t="shared" ca="1" si="0"/>
        <v>https://www.youtube.com/embed/ByaheAphduQ?start=2160&amp;end=2298&amp;autoplay=1</v>
      </c>
      <c r="R30" s="74" t="s">
        <v>94</v>
      </c>
      <c r="S30" s="74" t="s">
        <v>94</v>
      </c>
      <c r="T30" s="74" t="s">
        <v>94</v>
      </c>
      <c r="U30" s="71"/>
      <c r="V30" s="73"/>
      <c r="W30" s="75" t="s">
        <v>292</v>
      </c>
      <c r="X30" s="64"/>
      <c r="Y30" s="51"/>
      <c r="Z30" s="51"/>
      <c r="AA30" s="82"/>
      <c r="AB30" s="82"/>
      <c r="AC30" s="82"/>
      <c r="AD30" s="82"/>
      <c r="AE30" s="82"/>
      <c r="AF30" s="82"/>
      <c r="AG30" s="82"/>
    </row>
    <row r="31" spans="1:33">
      <c r="A31" s="54">
        <v>59.11</v>
      </c>
      <c r="B31" s="51" t="s">
        <v>97</v>
      </c>
      <c r="C31" s="51"/>
      <c r="D31" s="51" t="s">
        <v>120</v>
      </c>
      <c r="E31" s="51"/>
      <c r="F31" s="55"/>
      <c r="G31" s="56" t="s">
        <v>440</v>
      </c>
      <c r="H31" s="76"/>
      <c r="I31" s="51"/>
      <c r="J31" s="51"/>
      <c r="K31" s="58"/>
      <c r="L31" s="59"/>
      <c r="M31" s="58">
        <v>2.6736111111111113E-2</v>
      </c>
      <c r="N31" s="58">
        <v>2.9571759259259259E-2</v>
      </c>
      <c r="O31" s="77">
        <f t="shared" si="1"/>
        <v>2.8356481481481462E-3</v>
      </c>
      <c r="P31" s="81">
        <v>42989</v>
      </c>
      <c r="Q31" s="79" t="str">
        <f t="shared" ca="1" si="0"/>
        <v>https://www.youtube.com/embed/ByaheAphduQ?start=2310&amp;end=2555&amp;autoplay=1</v>
      </c>
      <c r="R31" s="74" t="s">
        <v>94</v>
      </c>
      <c r="S31" s="74" t="s">
        <v>94</v>
      </c>
      <c r="T31" s="74" t="s">
        <v>94</v>
      </c>
      <c r="U31" s="71"/>
      <c r="V31" s="73"/>
      <c r="W31" s="75" t="s">
        <v>292</v>
      </c>
      <c r="X31" s="85"/>
      <c r="Y31" s="65"/>
      <c r="Z31" s="65"/>
      <c r="AA31" s="82"/>
      <c r="AB31" s="82"/>
      <c r="AC31" s="82"/>
      <c r="AD31" s="82"/>
      <c r="AE31" s="82"/>
      <c r="AF31" s="82"/>
      <c r="AG31" s="82"/>
    </row>
    <row r="32" spans="1:33">
      <c r="A32" s="54">
        <v>59.120000000000097</v>
      </c>
      <c r="B32" s="51" t="s">
        <v>97</v>
      </c>
      <c r="C32" s="51"/>
      <c r="D32" s="51" t="s">
        <v>120</v>
      </c>
      <c r="E32" s="51"/>
      <c r="F32" s="55"/>
      <c r="G32" s="56" t="s">
        <v>442</v>
      </c>
      <c r="H32" s="76"/>
      <c r="I32" s="51"/>
      <c r="J32" s="51"/>
      <c r="K32" s="58"/>
      <c r="L32" s="59"/>
      <c r="M32" s="58">
        <v>3.0034722222222223E-2</v>
      </c>
      <c r="N32" s="58">
        <v>3.0671296296296294E-2</v>
      </c>
      <c r="O32" s="77">
        <f t="shared" si="1"/>
        <v>6.3657407407407066E-4</v>
      </c>
      <c r="P32" s="81">
        <v>42989</v>
      </c>
      <c r="Q32" s="79" t="str">
        <f t="shared" ca="1" si="0"/>
        <v>https://www.youtube.com/embed/ByaheAphduQ?start=2595&amp;end=2650&amp;autoplay=1</v>
      </c>
      <c r="R32" s="74" t="s">
        <v>94</v>
      </c>
      <c r="S32" s="74" t="s">
        <v>94</v>
      </c>
      <c r="T32" s="74" t="s">
        <v>94</v>
      </c>
      <c r="U32" s="71"/>
      <c r="V32" s="73"/>
      <c r="W32" s="75" t="s">
        <v>292</v>
      </c>
      <c r="X32" s="85"/>
      <c r="Y32" s="65"/>
      <c r="Z32" s="65"/>
      <c r="AA32" s="82"/>
      <c r="AB32" s="82"/>
      <c r="AC32" s="82"/>
      <c r="AD32" s="82"/>
      <c r="AE32" s="82"/>
      <c r="AF32" s="82"/>
      <c r="AG32" s="82"/>
    </row>
    <row r="33" spans="1:33">
      <c r="A33" s="54">
        <v>59.130000000000102</v>
      </c>
      <c r="B33" s="51" t="s">
        <v>97</v>
      </c>
      <c r="C33" s="51"/>
      <c r="D33" s="51" t="s">
        <v>120</v>
      </c>
      <c r="E33" s="51"/>
      <c r="F33" s="55"/>
      <c r="G33" s="80" t="s">
        <v>445</v>
      </c>
      <c r="H33" s="76" t="s">
        <v>446</v>
      </c>
      <c r="I33" s="51"/>
      <c r="J33" s="51"/>
      <c r="K33" s="58"/>
      <c r="L33" s="59"/>
      <c r="M33" s="58">
        <v>3.1944444444444449E-2</v>
      </c>
      <c r="N33" s="58">
        <v>3.3912037037037039E-2</v>
      </c>
      <c r="O33" s="77">
        <f t="shared" si="1"/>
        <v>1.9675925925925902E-3</v>
      </c>
      <c r="P33" s="81">
        <v>42989</v>
      </c>
      <c r="Q33" s="79" t="str">
        <f t="shared" ca="1" si="0"/>
        <v>https://www.youtube.com/embed/ByaheAphduQ?start=2760&amp;end=2930&amp;autoplay=1</v>
      </c>
      <c r="R33" s="74" t="s">
        <v>94</v>
      </c>
      <c r="S33" s="74" t="s">
        <v>94</v>
      </c>
      <c r="T33" s="74" t="s">
        <v>94</v>
      </c>
      <c r="U33" s="71"/>
      <c r="V33" s="73"/>
      <c r="W33" s="75" t="s">
        <v>292</v>
      </c>
      <c r="X33" s="85"/>
      <c r="Y33" s="65"/>
      <c r="Z33" s="65"/>
      <c r="AA33" s="82"/>
      <c r="AB33" s="82"/>
      <c r="AC33" s="82"/>
      <c r="AD33" s="82"/>
      <c r="AE33" s="82"/>
      <c r="AF33" s="82"/>
      <c r="AG33" s="82"/>
    </row>
    <row r="34" spans="1:33">
      <c r="A34" s="54">
        <v>59.1400000000001</v>
      </c>
      <c r="B34" s="51" t="s">
        <v>97</v>
      </c>
      <c r="C34" s="54"/>
      <c r="D34" s="51" t="s">
        <v>120</v>
      </c>
      <c r="E34" s="51"/>
      <c r="F34" s="55"/>
      <c r="G34" s="56" t="s">
        <v>451</v>
      </c>
      <c r="H34" s="76" t="s">
        <v>452</v>
      </c>
      <c r="I34" s="51"/>
      <c r="J34" s="51"/>
      <c r="K34" s="58"/>
      <c r="L34" s="59"/>
      <c r="M34" s="58">
        <v>3.4606481481481481E-2</v>
      </c>
      <c r="N34" s="58">
        <v>3.5196759259259254E-2</v>
      </c>
      <c r="O34" s="77">
        <f t="shared" si="1"/>
        <v>5.9027777777777291E-4</v>
      </c>
      <c r="P34" s="81">
        <v>42989</v>
      </c>
      <c r="Q34" s="79" t="str">
        <f t="shared" ca="1" si="0"/>
        <v>https://www.youtube.com/embed/ByaheAphduQ?start=2990&amp;end=3041&amp;autoplay=1</v>
      </c>
      <c r="R34" s="74" t="s">
        <v>94</v>
      </c>
      <c r="S34" s="74" t="s">
        <v>94</v>
      </c>
      <c r="T34" s="74" t="s">
        <v>94</v>
      </c>
      <c r="U34" s="71"/>
      <c r="V34" s="73"/>
      <c r="W34" s="75" t="s">
        <v>292</v>
      </c>
      <c r="X34" s="85"/>
      <c r="Y34" s="65"/>
      <c r="Z34" s="65"/>
      <c r="AA34" s="82"/>
      <c r="AB34" s="82"/>
      <c r="AC34" s="82"/>
      <c r="AD34" s="82"/>
      <c r="AE34" s="82"/>
      <c r="AF34" s="82"/>
      <c r="AG34" s="82"/>
    </row>
    <row r="35" spans="1:33">
      <c r="A35" s="51">
        <v>62</v>
      </c>
      <c r="B35" s="51" t="s">
        <v>97</v>
      </c>
      <c r="C35" s="51"/>
      <c r="D35" s="51" t="s">
        <v>120</v>
      </c>
      <c r="E35" s="51" t="s">
        <v>457</v>
      </c>
      <c r="F35" s="55" t="s">
        <v>458</v>
      </c>
      <c r="G35" s="56"/>
      <c r="H35" s="57"/>
      <c r="I35" s="51"/>
      <c r="J35" s="51">
        <f>6.1*1000</f>
        <v>6100</v>
      </c>
      <c r="K35" s="58">
        <v>3.6041666666666666E-2</v>
      </c>
      <c r="L35" s="59" t="s">
        <v>459</v>
      </c>
      <c r="M35" s="58"/>
      <c r="N35" s="58"/>
      <c r="O35" s="51"/>
      <c r="P35" s="81">
        <v>42997</v>
      </c>
      <c r="Q35" s="37" t="str">
        <f t="shared" ca="1" si="0"/>
        <v/>
      </c>
      <c r="R35" s="70" t="s">
        <v>94</v>
      </c>
      <c r="S35" s="70" t="s">
        <v>94</v>
      </c>
      <c r="T35" s="70" t="s">
        <v>94</v>
      </c>
      <c r="U35" s="71"/>
      <c r="V35" s="73"/>
      <c r="W35" s="75" t="s">
        <v>304</v>
      </c>
      <c r="X35" s="64"/>
      <c r="Y35" s="51"/>
      <c r="Z35" s="51"/>
      <c r="AA35" s="82"/>
      <c r="AB35" s="82"/>
      <c r="AC35" s="82"/>
      <c r="AD35" s="82"/>
      <c r="AE35" s="82"/>
      <c r="AF35" s="82"/>
      <c r="AG35" s="82"/>
    </row>
    <row r="36" spans="1:33">
      <c r="A36" s="54">
        <v>62.1</v>
      </c>
      <c r="B36" s="51" t="s">
        <v>97</v>
      </c>
      <c r="C36" s="51"/>
      <c r="D36" s="51" t="s">
        <v>120</v>
      </c>
      <c r="E36" s="51"/>
      <c r="F36" s="55"/>
      <c r="G36" s="56" t="s">
        <v>460</v>
      </c>
      <c r="H36" s="86"/>
      <c r="I36" s="51"/>
      <c r="J36" s="51"/>
      <c r="K36" s="58"/>
      <c r="L36" s="59"/>
      <c r="M36" s="58">
        <v>2.9166666666666668E-3</v>
      </c>
      <c r="N36" s="58">
        <v>4.1666666666666666E-3</v>
      </c>
      <c r="O36" s="77">
        <f t="shared" ref="O36:O42" si="2">N36-M36</f>
        <v>1.2499999999999998E-3</v>
      </c>
      <c r="P36" s="81">
        <v>42997</v>
      </c>
      <c r="Q36" s="79" t="str">
        <f t="shared" ca="1" si="0"/>
        <v>https://www.youtube.com/embed/s3LVHHEe2vc?start=252&amp;end=360&amp;autoplay=1</v>
      </c>
      <c r="R36" s="70" t="s">
        <v>94</v>
      </c>
      <c r="S36" s="70" t="s">
        <v>94</v>
      </c>
      <c r="T36" s="70" t="s">
        <v>94</v>
      </c>
      <c r="U36" s="71"/>
      <c r="V36" s="73"/>
      <c r="W36" s="75" t="s">
        <v>304</v>
      </c>
      <c r="X36" s="64"/>
      <c r="Y36" s="51"/>
      <c r="Z36" s="51"/>
      <c r="AA36" s="82"/>
      <c r="AB36" s="82"/>
      <c r="AC36" s="82"/>
      <c r="AD36" s="82"/>
      <c r="AE36" s="82"/>
      <c r="AF36" s="82"/>
      <c r="AG36" s="82"/>
    </row>
    <row r="37" spans="1:33">
      <c r="A37" s="54">
        <v>62.2</v>
      </c>
      <c r="B37" s="51" t="s">
        <v>97</v>
      </c>
      <c r="C37" s="51"/>
      <c r="D37" s="51" t="s">
        <v>120</v>
      </c>
      <c r="E37" s="51"/>
      <c r="F37" s="55"/>
      <c r="G37" s="56" t="s">
        <v>464</v>
      </c>
      <c r="H37" s="86" t="s">
        <v>465</v>
      </c>
      <c r="I37" s="51"/>
      <c r="J37" s="51"/>
      <c r="K37" s="58"/>
      <c r="L37" s="59"/>
      <c r="M37" s="58">
        <v>5.0347222222222225E-3</v>
      </c>
      <c r="N37" s="58">
        <v>6.4930555555555549E-3</v>
      </c>
      <c r="O37" s="77">
        <f t="shared" si="2"/>
        <v>1.4583333333333323E-3</v>
      </c>
      <c r="P37" s="81">
        <v>42997</v>
      </c>
      <c r="Q37" s="79" t="str">
        <f t="shared" ca="1" si="0"/>
        <v>https://www.youtube.com/embed/s3LVHHEe2vc?start=435&amp;end=561&amp;autoplay=1</v>
      </c>
      <c r="R37" s="70" t="s">
        <v>94</v>
      </c>
      <c r="S37" s="70" t="s">
        <v>94</v>
      </c>
      <c r="T37" s="70" t="s">
        <v>94</v>
      </c>
      <c r="U37" s="71"/>
      <c r="V37" s="73"/>
      <c r="W37" s="75" t="s">
        <v>304</v>
      </c>
      <c r="X37" s="64"/>
      <c r="Y37" s="51"/>
      <c r="Z37" s="51"/>
      <c r="AA37" s="82"/>
      <c r="AB37" s="82"/>
      <c r="AC37" s="82"/>
      <c r="AD37" s="82"/>
      <c r="AE37" s="82"/>
      <c r="AF37" s="82"/>
      <c r="AG37" s="82"/>
    </row>
    <row r="38" spans="1:33">
      <c r="A38" s="54">
        <v>62.3</v>
      </c>
      <c r="B38" s="51" t="s">
        <v>97</v>
      </c>
      <c r="C38" s="51"/>
      <c r="D38" s="51" t="s">
        <v>120</v>
      </c>
      <c r="E38" s="51"/>
      <c r="F38" s="55"/>
      <c r="G38" s="56" t="s">
        <v>471</v>
      </c>
      <c r="H38" s="86" t="s">
        <v>472</v>
      </c>
      <c r="I38" s="51"/>
      <c r="J38" s="51"/>
      <c r="K38" s="58"/>
      <c r="L38" s="59"/>
      <c r="M38" s="58">
        <v>8.4490740740740741E-3</v>
      </c>
      <c r="N38" s="58">
        <v>1.1574074074074075E-2</v>
      </c>
      <c r="O38" s="77">
        <f t="shared" si="2"/>
        <v>3.125000000000001E-3</v>
      </c>
      <c r="P38" s="81">
        <v>42997</v>
      </c>
      <c r="Q38" s="79" t="str">
        <f t="shared" ca="1" si="0"/>
        <v>https://www.youtube.com/embed/s3LVHHEe2vc?start=730&amp;end=1000&amp;autoplay=1</v>
      </c>
      <c r="R38" s="70" t="s">
        <v>94</v>
      </c>
      <c r="S38" s="70" t="s">
        <v>94</v>
      </c>
      <c r="T38" s="70" t="s">
        <v>94</v>
      </c>
      <c r="U38" s="71"/>
      <c r="V38" s="73"/>
      <c r="W38" s="75" t="s">
        <v>304</v>
      </c>
      <c r="X38" s="64"/>
      <c r="Y38" s="51"/>
      <c r="Z38" s="51"/>
      <c r="AA38" s="82"/>
      <c r="AB38" s="82"/>
      <c r="AC38" s="82"/>
      <c r="AD38" s="82"/>
      <c r="AE38" s="82"/>
      <c r="AF38" s="82"/>
      <c r="AG38" s="82"/>
    </row>
    <row r="39" spans="1:33">
      <c r="A39" s="87">
        <v>62.4</v>
      </c>
      <c r="B39" s="54" t="s">
        <v>97</v>
      </c>
      <c r="C39" s="51"/>
      <c r="D39" s="88" t="s">
        <v>120</v>
      </c>
      <c r="E39" s="88"/>
      <c r="F39" s="90"/>
      <c r="G39" s="91" t="s">
        <v>473</v>
      </c>
      <c r="H39" s="82"/>
      <c r="I39" s="87"/>
      <c r="J39" s="87"/>
      <c r="K39" s="58"/>
      <c r="L39" s="87"/>
      <c r="M39" s="58">
        <v>2.5891203703703704E-2</v>
      </c>
      <c r="N39" s="58">
        <v>2.7083333333333334E-2</v>
      </c>
      <c r="O39" s="58">
        <f t="shared" si="2"/>
        <v>1.1921296296296298E-3</v>
      </c>
      <c r="P39" s="81">
        <v>42997</v>
      </c>
      <c r="Q39" s="79" t="str">
        <f t="shared" ca="1" si="0"/>
        <v>https://www.youtube.com/embed/s3LVHHEe2vc?start=2237&amp;end=2340&amp;autoplay=1</v>
      </c>
      <c r="R39" s="70" t="s">
        <v>94</v>
      </c>
      <c r="S39" s="70" t="s">
        <v>94</v>
      </c>
      <c r="T39" s="70" t="s">
        <v>94</v>
      </c>
      <c r="U39" s="71"/>
      <c r="V39" s="73"/>
      <c r="W39" s="75" t="s">
        <v>304</v>
      </c>
      <c r="X39" s="78"/>
      <c r="Y39" s="54"/>
      <c r="Z39" s="54"/>
      <c r="AA39" s="82"/>
      <c r="AB39" s="82"/>
      <c r="AC39" s="82"/>
      <c r="AD39" s="82"/>
      <c r="AE39" s="82"/>
      <c r="AF39" s="82"/>
      <c r="AG39" s="82"/>
    </row>
    <row r="40" spans="1:33">
      <c r="A40" s="54">
        <v>62.5</v>
      </c>
      <c r="B40" s="54" t="s">
        <v>97</v>
      </c>
      <c r="C40" s="54"/>
      <c r="D40" s="51" t="s">
        <v>120</v>
      </c>
      <c r="E40" s="51"/>
      <c r="F40" s="56"/>
      <c r="G40" s="54" t="s">
        <v>477</v>
      </c>
      <c r="H40" s="86"/>
      <c r="I40" s="51"/>
      <c r="J40" s="51"/>
      <c r="K40" s="58"/>
      <c r="L40" s="59"/>
      <c r="M40" s="58">
        <v>2.7546296296296294E-2</v>
      </c>
      <c r="N40" s="58">
        <v>2.8645833333333332E-2</v>
      </c>
      <c r="O40" s="77">
        <f t="shared" si="2"/>
        <v>1.0995370370370378E-3</v>
      </c>
      <c r="P40" s="81">
        <v>42997</v>
      </c>
      <c r="Q40" s="79" t="str">
        <f t="shared" ca="1" si="0"/>
        <v>https://www.youtube.com/embed/s3LVHHEe2vc?start=2380&amp;end=2475&amp;autoplay=1</v>
      </c>
      <c r="R40" s="74" t="s">
        <v>94</v>
      </c>
      <c r="S40" s="74" t="s">
        <v>94</v>
      </c>
      <c r="T40" s="74" t="s">
        <v>94</v>
      </c>
      <c r="U40" s="71"/>
      <c r="V40" s="73"/>
      <c r="W40" s="75" t="s">
        <v>304</v>
      </c>
      <c r="X40" s="92"/>
      <c r="Y40" s="82"/>
      <c r="Z40" s="82"/>
      <c r="AA40" s="82"/>
      <c r="AB40" s="82"/>
      <c r="AC40" s="82"/>
      <c r="AD40" s="82"/>
      <c r="AE40" s="82"/>
      <c r="AF40" s="82"/>
      <c r="AG40" s="82"/>
    </row>
    <row r="41" spans="1:33">
      <c r="A41" s="54">
        <v>62.6</v>
      </c>
      <c r="B41" s="54" t="s">
        <v>97</v>
      </c>
      <c r="C41" s="51"/>
      <c r="D41" s="51" t="s">
        <v>120</v>
      </c>
      <c r="E41" s="51"/>
      <c r="F41" s="56"/>
      <c r="G41" s="54" t="s">
        <v>482</v>
      </c>
      <c r="H41" s="86"/>
      <c r="I41" s="51"/>
      <c r="J41" s="51"/>
      <c r="K41" s="58"/>
      <c r="L41" s="59"/>
      <c r="M41" s="58">
        <v>2.8645833333333332E-2</v>
      </c>
      <c r="N41" s="58">
        <v>3.0439814814814819E-2</v>
      </c>
      <c r="O41" s="77">
        <f t="shared" si="2"/>
        <v>1.7939814814814867E-3</v>
      </c>
      <c r="P41" s="81">
        <v>42997</v>
      </c>
      <c r="Q41" s="79" t="str">
        <f t="shared" ca="1" si="0"/>
        <v>https://www.youtube.com/embed/s3LVHHEe2vc?start=2475&amp;end=2630&amp;autoplay=1</v>
      </c>
      <c r="R41" s="70" t="s">
        <v>94</v>
      </c>
      <c r="S41" s="70" t="s">
        <v>94</v>
      </c>
      <c r="T41" s="70" t="s">
        <v>94</v>
      </c>
      <c r="U41" s="71"/>
      <c r="V41" s="73"/>
      <c r="W41" s="75" t="s">
        <v>304</v>
      </c>
      <c r="X41" s="64"/>
      <c r="Y41" s="51"/>
      <c r="Z41" s="51"/>
      <c r="AA41" s="82"/>
      <c r="AB41" s="82"/>
      <c r="AC41" s="82"/>
      <c r="AD41" s="82"/>
      <c r="AE41" s="82"/>
      <c r="AF41" s="82"/>
      <c r="AG41" s="82"/>
    </row>
    <row r="42" spans="1:33">
      <c r="A42" s="54">
        <v>62.7</v>
      </c>
      <c r="B42" s="54" t="s">
        <v>97</v>
      </c>
      <c r="C42" s="51"/>
      <c r="D42" s="51" t="s">
        <v>120</v>
      </c>
      <c r="E42" s="51"/>
      <c r="F42" s="56"/>
      <c r="G42" s="54" t="s">
        <v>486</v>
      </c>
      <c r="H42" s="86"/>
      <c r="I42" s="51"/>
      <c r="J42" s="51"/>
      <c r="K42" s="58"/>
      <c r="L42" s="59"/>
      <c r="M42" s="58">
        <v>3.0497685185185183E-2</v>
      </c>
      <c r="N42" s="58">
        <v>3.2870370370370376E-2</v>
      </c>
      <c r="O42" s="77">
        <f t="shared" si="2"/>
        <v>2.3726851851851929E-3</v>
      </c>
      <c r="P42" s="81">
        <v>42997</v>
      </c>
      <c r="Q42" s="79" t="str">
        <f t="shared" ca="1" si="0"/>
        <v>https://www.youtube.com/embed/s3LVHHEe2vc?start=2635&amp;end=2840&amp;autoplay=1</v>
      </c>
      <c r="R42" s="70" t="s">
        <v>94</v>
      </c>
      <c r="S42" s="70" t="s">
        <v>94</v>
      </c>
      <c r="T42" s="70" t="s">
        <v>94</v>
      </c>
      <c r="U42" s="71"/>
      <c r="V42" s="73"/>
      <c r="W42" s="75" t="s">
        <v>304</v>
      </c>
      <c r="X42" s="64"/>
      <c r="Y42" s="51"/>
      <c r="Z42" s="51"/>
      <c r="AA42" s="82"/>
      <c r="AB42" s="82"/>
      <c r="AC42" s="82"/>
      <c r="AD42" s="82"/>
      <c r="AE42" s="82"/>
      <c r="AF42" s="82"/>
      <c r="AG42" s="82"/>
    </row>
    <row r="43" spans="1:33">
      <c r="A43" s="54">
        <v>74</v>
      </c>
      <c r="B43" s="54" t="s">
        <v>97</v>
      </c>
      <c r="C43" s="51"/>
      <c r="D43" s="51" t="s">
        <v>120</v>
      </c>
      <c r="E43" s="51" t="s">
        <v>489</v>
      </c>
      <c r="F43" s="93" t="s">
        <v>490</v>
      </c>
      <c r="G43" s="54"/>
      <c r="H43" s="86"/>
      <c r="I43" s="51"/>
      <c r="J43" s="51">
        <f>4.4*1000</f>
        <v>4400</v>
      </c>
      <c r="K43" s="58">
        <v>4.2280092592592598E-2</v>
      </c>
      <c r="L43" s="59" t="s">
        <v>459</v>
      </c>
      <c r="M43" s="58"/>
      <c r="N43" s="58"/>
      <c r="O43" s="77"/>
      <c r="P43" s="81"/>
      <c r="Q43" s="37" t="str">
        <f t="shared" ca="1" si="0"/>
        <v/>
      </c>
      <c r="R43" s="70" t="s">
        <v>94</v>
      </c>
      <c r="S43" s="70" t="s">
        <v>493</v>
      </c>
      <c r="T43" s="70" t="s">
        <v>94</v>
      </c>
      <c r="U43" s="71"/>
      <c r="V43" s="73"/>
      <c r="W43" s="75" t="s">
        <v>292</v>
      </c>
      <c r="X43" s="64"/>
      <c r="Y43" s="51"/>
      <c r="Z43" s="51"/>
      <c r="AA43" s="82"/>
      <c r="AB43" s="82"/>
      <c r="AC43" s="82"/>
      <c r="AD43" s="82"/>
      <c r="AE43" s="82"/>
      <c r="AF43" s="82"/>
      <c r="AG43" s="82"/>
    </row>
    <row r="44" spans="1:33">
      <c r="A44" s="51">
        <v>74.010000000000005</v>
      </c>
      <c r="B44" s="54" t="s">
        <v>97</v>
      </c>
      <c r="C44" s="51"/>
      <c r="D44" s="54" t="s">
        <v>120</v>
      </c>
      <c r="E44" s="51"/>
      <c r="F44" s="55"/>
      <c r="G44" s="56" t="s">
        <v>497</v>
      </c>
      <c r="H44" s="57"/>
      <c r="I44" s="51"/>
      <c r="J44" s="51"/>
      <c r="K44" s="58"/>
      <c r="L44" s="59"/>
      <c r="M44" s="58">
        <v>4.3981481481481484E-3</v>
      </c>
      <c r="N44" s="58">
        <v>4.7453703703703703E-3</v>
      </c>
      <c r="O44" s="58">
        <f t="shared" ref="O44:O54" si="3">N44-M44</f>
        <v>3.4722222222222186E-4</v>
      </c>
      <c r="P44" s="81">
        <v>43003</v>
      </c>
      <c r="Q44" s="79" t="str">
        <f t="shared" ca="1" si="0"/>
        <v>https://www.youtube.com/embed/YFmL65VsWdk?start=380&amp;end=410&amp;autoplay=1</v>
      </c>
      <c r="R44" s="51" t="s">
        <v>94</v>
      </c>
      <c r="S44" s="51" t="s">
        <v>499</v>
      </c>
      <c r="T44" s="51" t="s">
        <v>94</v>
      </c>
      <c r="U44" s="51"/>
      <c r="V44" s="51"/>
      <c r="W44" s="51" t="s">
        <v>304</v>
      </c>
      <c r="X44" s="78"/>
      <c r="Y44" s="54"/>
      <c r="Z44" s="54"/>
      <c r="AA44" s="51"/>
      <c r="AB44" s="51"/>
      <c r="AC44" s="94"/>
      <c r="AD44" s="94"/>
      <c r="AE44" s="94"/>
      <c r="AF44" s="94"/>
      <c r="AG44" s="94"/>
    </row>
    <row r="45" spans="1:33">
      <c r="A45" s="54">
        <v>74.02</v>
      </c>
      <c r="B45" s="54" t="s">
        <v>97</v>
      </c>
      <c r="C45" s="51"/>
      <c r="D45" s="54" t="s">
        <v>120</v>
      </c>
      <c r="E45" s="51"/>
      <c r="F45" s="56"/>
      <c r="G45" s="54" t="s">
        <v>502</v>
      </c>
      <c r="H45" s="86" t="s">
        <v>503</v>
      </c>
      <c r="I45" s="51"/>
      <c r="J45" s="51"/>
      <c r="K45" s="58"/>
      <c r="L45" s="59"/>
      <c r="M45" s="58">
        <v>4.7800925925925919E-3</v>
      </c>
      <c r="N45" s="58">
        <v>5.4861111111111117E-3</v>
      </c>
      <c r="O45" s="77">
        <f t="shared" si="3"/>
        <v>7.0601851851851988E-4</v>
      </c>
      <c r="P45" s="81">
        <v>43003</v>
      </c>
      <c r="Q45" s="79" t="str">
        <f t="shared" ca="1" si="0"/>
        <v>https://www.youtube.com/embed/YFmL65VsWdk?start=413&amp;end=474&amp;autoplay=1</v>
      </c>
      <c r="R45" s="74" t="s">
        <v>94</v>
      </c>
      <c r="S45" s="74" t="s">
        <v>499</v>
      </c>
      <c r="T45" s="74" t="s">
        <v>94</v>
      </c>
      <c r="U45" s="71"/>
      <c r="V45" s="73"/>
      <c r="W45" s="75" t="s">
        <v>304</v>
      </c>
      <c r="X45" s="64"/>
      <c r="Y45" s="51"/>
      <c r="Z45" s="51"/>
      <c r="AA45" s="82"/>
      <c r="AB45" s="82"/>
      <c r="AC45" s="82"/>
      <c r="AD45" s="82"/>
      <c r="AE45" s="82"/>
      <c r="AF45" s="82"/>
      <c r="AG45" s="82"/>
    </row>
    <row r="46" spans="1:33">
      <c r="A46" s="51">
        <v>74.03</v>
      </c>
      <c r="B46" s="51" t="s">
        <v>97</v>
      </c>
      <c r="C46" s="51"/>
      <c r="D46" s="51" t="s">
        <v>120</v>
      </c>
      <c r="E46" s="51"/>
      <c r="F46" s="55"/>
      <c r="G46" s="56" t="s">
        <v>504</v>
      </c>
      <c r="H46" s="57"/>
      <c r="I46" s="51"/>
      <c r="J46" s="51"/>
      <c r="K46" s="58"/>
      <c r="L46" s="59"/>
      <c r="M46" s="58">
        <v>7.106481481481481E-3</v>
      </c>
      <c r="N46" s="58">
        <v>9.2592592592592605E-3</v>
      </c>
      <c r="O46" s="58">
        <f t="shared" si="3"/>
        <v>2.1527777777777795E-3</v>
      </c>
      <c r="P46" s="81">
        <v>43003</v>
      </c>
      <c r="Q46" s="79" t="str">
        <f t="shared" ca="1" si="0"/>
        <v>https://www.youtube.com/embed/YFmL65VsWdk?start=614&amp;end=800&amp;autoplay=1</v>
      </c>
      <c r="R46" s="70" t="s">
        <v>94</v>
      </c>
      <c r="S46" s="70" t="s">
        <v>499</v>
      </c>
      <c r="T46" s="70" t="s">
        <v>94</v>
      </c>
      <c r="U46" s="71"/>
      <c r="V46" s="73"/>
      <c r="W46" s="75" t="s">
        <v>304</v>
      </c>
      <c r="X46" s="64"/>
      <c r="Y46" s="51"/>
      <c r="Z46" s="51"/>
      <c r="AA46" s="82"/>
      <c r="AB46" s="82"/>
      <c r="AC46" s="82"/>
      <c r="AD46" s="82"/>
      <c r="AE46" s="82"/>
      <c r="AF46" s="82"/>
      <c r="AG46" s="82"/>
    </row>
    <row r="47" spans="1:33">
      <c r="A47" s="54">
        <v>74.040000000000006</v>
      </c>
      <c r="B47" s="51" t="s">
        <v>97</v>
      </c>
      <c r="C47" s="51"/>
      <c r="D47" s="51" t="s">
        <v>120</v>
      </c>
      <c r="E47" s="51"/>
      <c r="F47" s="55"/>
      <c r="G47" s="56" t="s">
        <v>507</v>
      </c>
      <c r="H47" s="76" t="s">
        <v>508</v>
      </c>
      <c r="I47" s="51"/>
      <c r="J47" s="51"/>
      <c r="K47" s="58"/>
      <c r="L47" s="59"/>
      <c r="M47" s="58">
        <v>9.2708333333333341E-3</v>
      </c>
      <c r="N47" s="58">
        <v>1.0995370370370371E-2</v>
      </c>
      <c r="O47" s="77">
        <f t="shared" si="3"/>
        <v>1.7245370370370366E-3</v>
      </c>
      <c r="P47" s="81">
        <v>43003</v>
      </c>
      <c r="Q47" s="79" t="str">
        <f t="shared" ca="1" si="0"/>
        <v>https://www.youtube.com/embed/YFmL65VsWdk?start=801&amp;end=950&amp;autoplay=1</v>
      </c>
      <c r="R47" s="70" t="s">
        <v>94</v>
      </c>
      <c r="S47" s="70" t="s">
        <v>499</v>
      </c>
      <c r="T47" s="70" t="s">
        <v>94</v>
      </c>
      <c r="U47" s="71"/>
      <c r="V47" s="73"/>
      <c r="W47" s="75" t="s">
        <v>304</v>
      </c>
      <c r="X47" s="85"/>
      <c r="Y47" s="65"/>
      <c r="Z47" s="65"/>
      <c r="AA47" s="82"/>
      <c r="AB47" s="82"/>
      <c r="AC47" s="82"/>
      <c r="AD47" s="82"/>
      <c r="AE47" s="82"/>
      <c r="AF47" s="82"/>
      <c r="AG47" s="82"/>
    </row>
    <row r="48" spans="1:33">
      <c r="A48" s="54">
        <v>74.05</v>
      </c>
      <c r="B48" s="51" t="s">
        <v>97</v>
      </c>
      <c r="C48" s="51"/>
      <c r="D48" s="51" t="s">
        <v>120</v>
      </c>
      <c r="E48" s="51"/>
      <c r="F48" s="55"/>
      <c r="G48" s="56" t="s">
        <v>511</v>
      </c>
      <c r="H48" s="76"/>
      <c r="I48" s="51"/>
      <c r="J48" s="51"/>
      <c r="K48" s="58"/>
      <c r="L48" s="59"/>
      <c r="M48" s="58">
        <v>9.8958333333333329E-3</v>
      </c>
      <c r="N48" s="58">
        <v>1.0416666666666666E-2</v>
      </c>
      <c r="O48" s="77">
        <f t="shared" si="3"/>
        <v>5.2083333333333322E-4</v>
      </c>
      <c r="P48" s="81">
        <v>43003</v>
      </c>
      <c r="Q48" s="79" t="str">
        <f t="shared" ca="1" si="0"/>
        <v>https://www.youtube.com/embed/YFmL65VsWdk?start=855&amp;end=900&amp;autoplay=1</v>
      </c>
      <c r="R48" s="70" t="s">
        <v>94</v>
      </c>
      <c r="S48" s="70" t="s">
        <v>499</v>
      </c>
      <c r="T48" s="70" t="s">
        <v>94</v>
      </c>
      <c r="U48" s="71"/>
      <c r="V48" s="73"/>
      <c r="W48" s="75" t="s">
        <v>304</v>
      </c>
      <c r="X48" s="85"/>
      <c r="Y48" s="65"/>
      <c r="Z48" s="65"/>
      <c r="AA48" s="82"/>
      <c r="AB48" s="82"/>
      <c r="AC48" s="82"/>
      <c r="AD48" s="82"/>
      <c r="AE48" s="82"/>
      <c r="AF48" s="82"/>
      <c r="AG48" s="82"/>
    </row>
    <row r="49" spans="1:33">
      <c r="A49" s="54">
        <v>74.06</v>
      </c>
      <c r="B49" s="51" t="s">
        <v>97</v>
      </c>
      <c r="C49" s="51"/>
      <c r="D49" s="51" t="s">
        <v>120</v>
      </c>
      <c r="E49" s="51"/>
      <c r="F49" s="55"/>
      <c r="G49" s="56" t="s">
        <v>513</v>
      </c>
      <c r="H49" s="76"/>
      <c r="I49" s="51"/>
      <c r="J49" s="51"/>
      <c r="K49" s="58"/>
      <c r="L49" s="59"/>
      <c r="M49" s="58">
        <v>1.0474537037037037E-2</v>
      </c>
      <c r="N49" s="58">
        <v>1.0995370370370371E-2</v>
      </c>
      <c r="O49" s="77">
        <f t="shared" si="3"/>
        <v>5.2083333333333322E-4</v>
      </c>
      <c r="P49" s="81">
        <v>43003</v>
      </c>
      <c r="Q49" s="79" t="str">
        <f t="shared" ca="1" si="0"/>
        <v>https://www.youtube.com/embed/YFmL65VsWdk?start=905&amp;end=950&amp;autoplay=1</v>
      </c>
      <c r="R49" s="70" t="s">
        <v>94</v>
      </c>
      <c r="S49" s="70" t="s">
        <v>499</v>
      </c>
      <c r="T49" s="70" t="s">
        <v>94</v>
      </c>
      <c r="U49" s="71"/>
      <c r="V49" s="73"/>
      <c r="W49" s="75" t="s">
        <v>304</v>
      </c>
      <c r="X49" s="85"/>
      <c r="Y49" s="65"/>
      <c r="Z49" s="65"/>
      <c r="AA49" s="82"/>
      <c r="AB49" s="82"/>
      <c r="AC49" s="82"/>
      <c r="AD49" s="82"/>
      <c r="AE49" s="82"/>
      <c r="AF49" s="82"/>
      <c r="AG49" s="82"/>
    </row>
    <row r="50" spans="1:33">
      <c r="A50" s="51">
        <v>74.069999999999993</v>
      </c>
      <c r="B50" s="51" t="s">
        <v>97</v>
      </c>
      <c r="C50" s="51"/>
      <c r="D50" s="51" t="s">
        <v>120</v>
      </c>
      <c r="E50" s="51"/>
      <c r="F50" s="55"/>
      <c r="G50" s="56" t="s">
        <v>517</v>
      </c>
      <c r="H50" s="57"/>
      <c r="I50" s="51"/>
      <c r="J50" s="51"/>
      <c r="K50" s="58"/>
      <c r="L50" s="59"/>
      <c r="M50" s="58">
        <v>1.1168981481481481E-2</v>
      </c>
      <c r="N50" s="58">
        <v>1.2430555555555554E-2</v>
      </c>
      <c r="O50" s="58">
        <f t="shared" si="3"/>
        <v>1.2615740740740729E-3</v>
      </c>
      <c r="P50" s="95">
        <v>43003</v>
      </c>
      <c r="Q50" s="79" t="str">
        <f t="shared" ca="1" si="0"/>
        <v>https://www.youtube.com/embed/YFmL65VsWdk?start=965&amp;end=1074&amp;autoplay=1</v>
      </c>
      <c r="R50" s="70" t="s">
        <v>94</v>
      </c>
      <c r="S50" s="70" t="s">
        <v>499</v>
      </c>
      <c r="T50" s="70" t="s">
        <v>94</v>
      </c>
      <c r="U50" s="71"/>
      <c r="V50" s="73"/>
      <c r="W50" s="75" t="s">
        <v>304</v>
      </c>
      <c r="X50" s="85"/>
      <c r="Y50" s="65"/>
      <c r="Z50" s="65"/>
      <c r="AA50" s="82"/>
      <c r="AB50" s="82"/>
      <c r="AC50" s="82"/>
      <c r="AD50" s="82"/>
      <c r="AE50" s="82"/>
      <c r="AF50" s="82"/>
      <c r="AG50" s="82"/>
    </row>
    <row r="51" spans="1:33">
      <c r="A51" s="51">
        <v>74.079999999999899</v>
      </c>
      <c r="B51" s="51" t="s">
        <v>97</v>
      </c>
      <c r="C51" s="51"/>
      <c r="D51" s="51" t="s">
        <v>120</v>
      </c>
      <c r="E51" s="51"/>
      <c r="F51" s="55"/>
      <c r="G51" s="56" t="s">
        <v>522</v>
      </c>
      <c r="H51" s="57"/>
      <c r="I51" s="51"/>
      <c r="J51" s="51"/>
      <c r="K51" s="58"/>
      <c r="L51" s="59"/>
      <c r="M51" s="58">
        <v>1.8229166666666668E-2</v>
      </c>
      <c r="N51" s="58">
        <v>2.2222222222222223E-2</v>
      </c>
      <c r="O51" s="58">
        <f t="shared" si="3"/>
        <v>3.9930555555555552E-3</v>
      </c>
      <c r="P51" s="95">
        <v>43003</v>
      </c>
      <c r="Q51" s="79" t="str">
        <f t="shared" ca="1" si="0"/>
        <v>https://www.youtube.com/embed/YFmL65VsWdk?start=1575&amp;end=1920&amp;autoplay=1</v>
      </c>
      <c r="R51" s="70" t="s">
        <v>94</v>
      </c>
      <c r="S51" s="70" t="s">
        <v>499</v>
      </c>
      <c r="T51" s="70" t="s">
        <v>94</v>
      </c>
      <c r="U51" s="71"/>
      <c r="V51" s="73"/>
      <c r="W51" s="75" t="s">
        <v>304</v>
      </c>
      <c r="X51" s="64"/>
      <c r="Y51" s="51"/>
      <c r="Z51" s="51"/>
      <c r="AA51" s="82"/>
      <c r="AB51" s="82"/>
      <c r="AC51" s="82"/>
      <c r="AD51" s="82"/>
      <c r="AE51" s="82"/>
      <c r="AF51" s="82"/>
      <c r="AG51" s="82"/>
    </row>
    <row r="52" spans="1:33">
      <c r="A52" s="54">
        <v>74.089999999999904</v>
      </c>
      <c r="B52" s="51" t="s">
        <v>97</v>
      </c>
      <c r="C52" s="51"/>
      <c r="D52" s="51" t="s">
        <v>120</v>
      </c>
      <c r="E52" s="51"/>
      <c r="F52" s="55"/>
      <c r="G52" s="56" t="s">
        <v>527</v>
      </c>
      <c r="H52" s="76"/>
      <c r="I52" s="51"/>
      <c r="J52" s="51"/>
      <c r="K52" s="58"/>
      <c r="L52" s="59"/>
      <c r="M52" s="58">
        <v>2.0312500000000001E-2</v>
      </c>
      <c r="N52" s="58">
        <v>2.1597222222222223E-2</v>
      </c>
      <c r="O52" s="77">
        <f t="shared" si="3"/>
        <v>1.2847222222222218E-3</v>
      </c>
      <c r="P52" s="81">
        <v>43003</v>
      </c>
      <c r="Q52" s="79" t="str">
        <f t="shared" ca="1" si="0"/>
        <v>https://www.youtube.com/embed/YFmL65VsWdk?start=1755&amp;end=1866&amp;autoplay=1</v>
      </c>
      <c r="R52" s="70" t="s">
        <v>94</v>
      </c>
      <c r="S52" s="70" t="s">
        <v>499</v>
      </c>
      <c r="T52" s="70" t="s">
        <v>94</v>
      </c>
      <c r="U52" s="71"/>
      <c r="V52" s="73"/>
      <c r="W52" s="75" t="s">
        <v>304</v>
      </c>
      <c r="X52" s="85"/>
      <c r="Y52" s="65"/>
      <c r="Z52" s="65"/>
      <c r="AA52" s="82"/>
      <c r="AB52" s="82"/>
      <c r="AC52" s="82"/>
      <c r="AD52" s="82"/>
      <c r="AE52" s="82"/>
      <c r="AF52" s="82"/>
      <c r="AG52" s="82"/>
    </row>
    <row r="53" spans="1:33">
      <c r="A53" s="54">
        <v>74.099999999999895</v>
      </c>
      <c r="B53" s="51" t="s">
        <v>97</v>
      </c>
      <c r="C53" s="51"/>
      <c r="D53" s="51" t="s">
        <v>120</v>
      </c>
      <c r="E53" s="51"/>
      <c r="F53" s="55"/>
      <c r="G53" s="56" t="s">
        <v>528</v>
      </c>
      <c r="H53" s="76"/>
      <c r="I53" s="51"/>
      <c r="J53" s="51"/>
      <c r="K53" s="58"/>
      <c r="L53" s="59"/>
      <c r="M53" s="58">
        <v>2.4155092592592589E-2</v>
      </c>
      <c r="N53" s="58">
        <v>2.5543981481481483E-2</v>
      </c>
      <c r="O53" s="77">
        <f t="shared" si="3"/>
        <v>1.3888888888888944E-3</v>
      </c>
      <c r="P53" s="81">
        <v>43003</v>
      </c>
      <c r="Q53" s="79" t="str">
        <f t="shared" ca="1" si="0"/>
        <v>https://www.youtube.com/embed/YFmL65VsWdk?start=2087&amp;end=2207&amp;autoplay=1</v>
      </c>
      <c r="R53" s="70" t="s">
        <v>94</v>
      </c>
      <c r="S53" s="70" t="s">
        <v>499</v>
      </c>
      <c r="T53" s="70" t="s">
        <v>94</v>
      </c>
      <c r="U53" s="71"/>
      <c r="V53" s="73"/>
      <c r="W53" s="75" t="s">
        <v>304</v>
      </c>
      <c r="X53" s="85"/>
      <c r="Y53" s="65"/>
      <c r="Z53" s="65"/>
      <c r="AA53" s="82"/>
      <c r="AB53" s="82"/>
      <c r="AC53" s="82"/>
      <c r="AD53" s="82"/>
      <c r="AE53" s="82"/>
      <c r="AF53" s="82"/>
      <c r="AG53" s="82"/>
    </row>
    <row r="54" spans="1:33">
      <c r="A54" s="54">
        <v>74.1099999999999</v>
      </c>
      <c r="B54" s="51" t="s">
        <v>97</v>
      </c>
      <c r="C54" s="51"/>
      <c r="D54" s="51" t="s">
        <v>120</v>
      </c>
      <c r="E54" s="51"/>
      <c r="F54" s="55"/>
      <c r="G54" s="80" t="s">
        <v>529</v>
      </c>
      <c r="H54" s="76" t="s">
        <v>530</v>
      </c>
      <c r="I54" s="51"/>
      <c r="J54" s="51"/>
      <c r="K54" s="58"/>
      <c r="L54" s="59"/>
      <c r="M54" s="58">
        <v>2.9224537037037038E-2</v>
      </c>
      <c r="N54" s="58">
        <v>3.2407407407407406E-2</v>
      </c>
      <c r="O54" s="77">
        <f t="shared" si="3"/>
        <v>3.1828703703703672E-3</v>
      </c>
      <c r="P54" s="81">
        <v>43003</v>
      </c>
      <c r="Q54" s="79" t="str">
        <f t="shared" ca="1" si="0"/>
        <v>https://www.youtube.com/embed/YFmL65VsWdk?start=2525&amp;end=2800&amp;autoplay=1</v>
      </c>
      <c r="R54" s="70" t="s">
        <v>94</v>
      </c>
      <c r="S54" s="70" t="s">
        <v>499</v>
      </c>
      <c r="T54" s="70" t="s">
        <v>94</v>
      </c>
      <c r="U54" s="71"/>
      <c r="V54" s="73"/>
      <c r="W54" s="75" t="s">
        <v>304</v>
      </c>
      <c r="X54" s="85"/>
      <c r="Y54" s="65"/>
      <c r="Z54" s="65"/>
      <c r="AA54" s="82"/>
      <c r="AB54" s="82"/>
      <c r="AC54" s="82"/>
      <c r="AD54" s="82"/>
      <c r="AE54" s="82"/>
      <c r="AF54" s="82"/>
      <c r="AG54" s="82"/>
    </row>
    <row r="55" spans="1:33" ht="20.25" customHeight="1">
      <c r="A55" s="54">
        <v>102</v>
      </c>
      <c r="B55" s="51" t="s">
        <v>97</v>
      </c>
      <c r="C55" s="51"/>
      <c r="D55" s="51" t="s">
        <v>120</v>
      </c>
      <c r="E55" s="51" t="s">
        <v>532</v>
      </c>
      <c r="F55" s="55" t="s">
        <v>533</v>
      </c>
      <c r="G55" s="56" t="s">
        <v>534</v>
      </c>
      <c r="H55" s="76" t="s">
        <v>535</v>
      </c>
      <c r="I55" s="51"/>
      <c r="J55" s="51">
        <f>1.3*1000</f>
        <v>1300</v>
      </c>
      <c r="K55" s="58">
        <v>1.1990740740740739E-2</v>
      </c>
      <c r="L55" s="59" t="s">
        <v>459</v>
      </c>
      <c r="M55" s="58"/>
      <c r="N55" s="58"/>
      <c r="O55" s="77"/>
      <c r="P55" s="81"/>
      <c r="Q55" s="37" t="str">
        <f t="shared" ca="1" si="0"/>
        <v/>
      </c>
      <c r="R55" s="70"/>
      <c r="S55" s="70"/>
      <c r="T55" s="70"/>
      <c r="U55" s="71"/>
      <c r="V55" s="73"/>
      <c r="W55" s="75"/>
      <c r="X55" s="85"/>
      <c r="Y55" s="65"/>
      <c r="Z55" s="65" t="s">
        <v>538</v>
      </c>
      <c r="AA55" s="82"/>
      <c r="AB55" s="82"/>
      <c r="AC55" s="82"/>
      <c r="AD55" s="82"/>
      <c r="AE55" s="82"/>
      <c r="AF55" s="82"/>
      <c r="AG55" s="82"/>
    </row>
    <row r="56" spans="1:33">
      <c r="A56" s="51">
        <v>103</v>
      </c>
      <c r="B56" s="51" t="s">
        <v>97</v>
      </c>
      <c r="C56" s="51"/>
      <c r="D56" s="51" t="s">
        <v>120</v>
      </c>
      <c r="E56" s="51" t="s">
        <v>539</v>
      </c>
      <c r="F56" s="55" t="s">
        <v>540</v>
      </c>
      <c r="G56" s="56"/>
      <c r="H56" s="57"/>
      <c r="I56" s="51"/>
      <c r="J56" s="51">
        <f>7.9*1000</f>
        <v>7900</v>
      </c>
      <c r="K56" s="58">
        <v>9.7002314814814805E-2</v>
      </c>
      <c r="L56" s="59" t="s">
        <v>459</v>
      </c>
      <c r="M56" s="58"/>
      <c r="N56" s="58"/>
      <c r="O56" s="51"/>
      <c r="P56" s="81"/>
      <c r="Q56" s="37" t="str">
        <f t="shared" ca="1" si="0"/>
        <v/>
      </c>
      <c r="R56" s="70" t="s">
        <v>94</v>
      </c>
      <c r="S56" s="70" t="s">
        <v>94</v>
      </c>
      <c r="T56" s="70" t="s">
        <v>94</v>
      </c>
      <c r="U56" s="71"/>
      <c r="V56" s="73"/>
      <c r="W56" s="75" t="s">
        <v>292</v>
      </c>
      <c r="X56" s="64"/>
      <c r="Y56" s="51"/>
      <c r="Z56" s="51"/>
      <c r="AA56" s="82"/>
      <c r="AB56" s="82"/>
      <c r="AC56" s="82"/>
      <c r="AD56" s="82"/>
      <c r="AE56" s="82"/>
      <c r="AF56" s="82"/>
      <c r="AG56" s="82"/>
    </row>
    <row r="57" spans="1:33">
      <c r="A57" s="54">
        <v>103.01</v>
      </c>
      <c r="B57" s="51" t="s">
        <v>97</v>
      </c>
      <c r="C57" s="51"/>
      <c r="D57" s="51" t="s">
        <v>120</v>
      </c>
      <c r="E57" s="51"/>
      <c r="F57" s="55"/>
      <c r="G57" s="56" t="s">
        <v>545</v>
      </c>
      <c r="H57" s="76" t="s">
        <v>548</v>
      </c>
      <c r="I57" s="51"/>
      <c r="J57" s="51"/>
      <c r="K57" s="58"/>
      <c r="L57" s="59"/>
      <c r="M57" s="58">
        <v>2.8935185185185184E-4</v>
      </c>
      <c r="N57" s="58">
        <v>3.0787037037037037E-3</v>
      </c>
      <c r="O57" s="77">
        <f t="shared" ref="O57:O75" si="4">N57-M57</f>
        <v>2.7893518518518519E-3</v>
      </c>
      <c r="P57" s="96">
        <v>43007</v>
      </c>
      <c r="Q57" s="79" t="str">
        <f t="shared" ca="1" si="0"/>
        <v>https://www.youtube.com/embed/8RSu4ymCgp4?start=25&amp;end=266&amp;autoplay=1</v>
      </c>
      <c r="R57" s="70" t="s">
        <v>94</v>
      </c>
      <c r="S57" s="70" t="s">
        <v>94</v>
      </c>
      <c r="T57" s="70" t="s">
        <v>94</v>
      </c>
      <c r="U57" s="71"/>
      <c r="V57" s="73"/>
      <c r="W57" s="75"/>
      <c r="X57" s="64"/>
      <c r="Y57" s="51"/>
      <c r="Z57" s="51"/>
      <c r="AA57" s="82"/>
      <c r="AB57" s="82"/>
      <c r="AC57" s="82"/>
      <c r="AD57" s="82"/>
      <c r="AE57" s="82"/>
      <c r="AF57" s="82"/>
      <c r="AG57" s="82"/>
    </row>
    <row r="58" spans="1:33">
      <c r="A58" s="54">
        <v>103.02</v>
      </c>
      <c r="B58" s="51" t="s">
        <v>97</v>
      </c>
      <c r="C58" s="51"/>
      <c r="D58" s="51" t="s">
        <v>120</v>
      </c>
      <c r="E58" s="51"/>
      <c r="F58" s="55"/>
      <c r="G58" s="56" t="s">
        <v>553</v>
      </c>
      <c r="H58" s="76"/>
      <c r="I58" s="51"/>
      <c r="J58" s="51"/>
      <c r="K58" s="58"/>
      <c r="L58" s="59"/>
      <c r="M58" s="58">
        <v>1.5543981481481482E-2</v>
      </c>
      <c r="N58" s="58">
        <v>2.2395833333333334E-2</v>
      </c>
      <c r="O58" s="77">
        <f t="shared" si="4"/>
        <v>6.851851851851852E-3</v>
      </c>
      <c r="P58" s="97">
        <v>43007</v>
      </c>
      <c r="Q58" s="79" t="str">
        <f t="shared" ca="1" si="0"/>
        <v>https://www.youtube.com/embed/8RSu4ymCgp4?start=1343&amp;end=1935&amp;autoplay=1</v>
      </c>
      <c r="R58" s="70" t="s">
        <v>94</v>
      </c>
      <c r="S58" s="70" t="s">
        <v>94</v>
      </c>
      <c r="T58" s="70" t="s">
        <v>94</v>
      </c>
      <c r="U58" s="71"/>
      <c r="V58" s="73"/>
      <c r="W58" s="75"/>
      <c r="X58" s="64"/>
      <c r="Y58" s="51"/>
      <c r="Z58" s="51"/>
      <c r="AA58" s="82"/>
      <c r="AB58" s="82"/>
      <c r="AC58" s="82"/>
      <c r="AD58" s="82"/>
      <c r="AE58" s="82"/>
      <c r="AF58" s="82"/>
      <c r="AG58" s="82"/>
    </row>
    <row r="59" spans="1:33">
      <c r="A59" s="54">
        <v>103.03</v>
      </c>
      <c r="B59" s="51" t="s">
        <v>97</v>
      </c>
      <c r="C59" s="51"/>
      <c r="D59" s="51" t="s">
        <v>120</v>
      </c>
      <c r="E59" s="51"/>
      <c r="F59" s="55"/>
      <c r="G59" s="56" t="s">
        <v>559</v>
      </c>
      <c r="H59" s="76"/>
      <c r="I59" s="51"/>
      <c r="J59" s="51"/>
      <c r="K59" s="58"/>
      <c r="L59" s="59"/>
      <c r="M59" s="58">
        <v>2.2453703703703705E-2</v>
      </c>
      <c r="N59" s="58">
        <v>2.3206018518518518E-2</v>
      </c>
      <c r="O59" s="77">
        <f t="shared" si="4"/>
        <v>7.523148148148133E-4</v>
      </c>
      <c r="P59" s="97">
        <v>43007</v>
      </c>
      <c r="Q59" s="79" t="str">
        <f t="shared" ca="1" si="0"/>
        <v>https://www.youtube.com/embed/8RSu4ymCgp4?start=1940&amp;end=2005&amp;autoplay=1</v>
      </c>
      <c r="R59" s="70" t="s">
        <v>94</v>
      </c>
      <c r="S59" s="70" t="s">
        <v>94</v>
      </c>
      <c r="T59" s="70" t="s">
        <v>94</v>
      </c>
      <c r="U59" s="71"/>
      <c r="V59" s="73"/>
      <c r="W59" s="75"/>
      <c r="X59" s="64"/>
      <c r="Y59" s="51"/>
      <c r="Z59" s="51"/>
      <c r="AA59" s="82"/>
      <c r="AB59" s="82"/>
      <c r="AC59" s="82"/>
      <c r="AD59" s="82"/>
      <c r="AE59" s="82"/>
      <c r="AF59" s="82"/>
      <c r="AG59" s="82"/>
    </row>
    <row r="60" spans="1:33">
      <c r="A60" s="54">
        <v>103.04</v>
      </c>
      <c r="B60" s="51" t="s">
        <v>97</v>
      </c>
      <c r="C60" s="54"/>
      <c r="D60" s="51" t="s">
        <v>120</v>
      </c>
      <c r="E60" s="51"/>
      <c r="F60" s="55"/>
      <c r="G60" s="80" t="s">
        <v>562</v>
      </c>
      <c r="H60" s="76"/>
      <c r="I60" s="51"/>
      <c r="J60" s="51"/>
      <c r="K60" s="58"/>
      <c r="L60" s="59"/>
      <c r="M60" s="58">
        <v>2.326388888888889E-2</v>
      </c>
      <c r="N60" s="58">
        <v>2.3958333333333335E-2</v>
      </c>
      <c r="O60" s="77">
        <f t="shared" si="4"/>
        <v>6.9444444444444545E-4</v>
      </c>
      <c r="P60" s="97">
        <v>43007</v>
      </c>
      <c r="Q60" s="79" t="str">
        <f t="shared" ca="1" si="0"/>
        <v>https://www.youtube.com/embed/8RSu4ymCgp4?start=2010&amp;end=2070&amp;autoplay=1</v>
      </c>
      <c r="R60" s="70" t="s">
        <v>94</v>
      </c>
      <c r="S60" s="70" t="s">
        <v>94</v>
      </c>
      <c r="T60" s="70" t="s">
        <v>94</v>
      </c>
      <c r="U60" s="71"/>
      <c r="V60" s="73"/>
      <c r="W60" s="75"/>
      <c r="X60" s="64"/>
      <c r="Y60" s="51"/>
      <c r="Z60" s="51"/>
      <c r="AA60" s="82"/>
      <c r="AB60" s="82"/>
      <c r="AC60" s="82"/>
      <c r="AD60" s="82"/>
      <c r="AE60" s="82"/>
      <c r="AF60" s="82"/>
      <c r="AG60" s="82"/>
    </row>
    <row r="61" spans="1:33">
      <c r="A61" s="54">
        <v>103.05</v>
      </c>
      <c r="B61" s="51" t="s">
        <v>97</v>
      </c>
      <c r="C61" s="51"/>
      <c r="D61" s="51" t="s">
        <v>120</v>
      </c>
      <c r="E61" s="51"/>
      <c r="F61" s="55"/>
      <c r="G61" s="56" t="s">
        <v>567</v>
      </c>
      <c r="H61" s="76" t="s">
        <v>568</v>
      </c>
      <c r="I61" s="51"/>
      <c r="J61" s="51"/>
      <c r="K61" s="58"/>
      <c r="L61" s="59"/>
      <c r="M61" s="58">
        <v>2.4004629629629629E-2</v>
      </c>
      <c r="N61" s="58">
        <v>2.537037037037037E-2</v>
      </c>
      <c r="O61" s="77">
        <f t="shared" si="4"/>
        <v>1.3657407407407403E-3</v>
      </c>
      <c r="P61" s="97">
        <v>43007</v>
      </c>
      <c r="Q61" s="79" t="str">
        <f t="shared" ca="1" si="0"/>
        <v>https://www.youtube.com/embed/8RSu4ymCgp4?start=2074&amp;end=2192&amp;autoplay=1</v>
      </c>
      <c r="R61" s="70" t="s">
        <v>94</v>
      </c>
      <c r="S61" s="70" t="s">
        <v>94</v>
      </c>
      <c r="T61" s="70" t="s">
        <v>94</v>
      </c>
      <c r="U61" s="71"/>
      <c r="V61" s="73"/>
      <c r="W61" s="75"/>
      <c r="X61" s="64"/>
      <c r="Y61" s="51"/>
      <c r="Z61" s="51"/>
      <c r="AA61" s="82"/>
      <c r="AB61" s="82"/>
      <c r="AC61" s="82"/>
      <c r="AD61" s="82"/>
      <c r="AE61" s="82"/>
      <c r="AF61" s="82"/>
      <c r="AG61" s="82"/>
    </row>
    <row r="62" spans="1:33">
      <c r="A62" s="51">
        <v>103.06</v>
      </c>
      <c r="B62" s="51" t="s">
        <v>97</v>
      </c>
      <c r="C62" s="51"/>
      <c r="D62" s="51" t="s">
        <v>120</v>
      </c>
      <c r="E62" s="51"/>
      <c r="F62" s="55"/>
      <c r="G62" s="56" t="s">
        <v>572</v>
      </c>
      <c r="H62" s="57" t="s">
        <v>573</v>
      </c>
      <c r="I62" s="51"/>
      <c r="J62" s="51"/>
      <c r="K62" s="58"/>
      <c r="L62" s="59"/>
      <c r="M62" s="58">
        <v>2.5509259259259259E-2</v>
      </c>
      <c r="N62" s="58">
        <v>2.6967592592592592E-2</v>
      </c>
      <c r="O62" s="58">
        <f t="shared" si="4"/>
        <v>1.4583333333333323E-3</v>
      </c>
      <c r="P62" s="98">
        <v>43007</v>
      </c>
      <c r="Q62" s="79" t="str">
        <f t="shared" ca="1" si="0"/>
        <v>https://www.youtube.com/embed/8RSu4ymCgp4?start=2204&amp;end=2330&amp;autoplay=1</v>
      </c>
      <c r="R62" s="70" t="s">
        <v>94</v>
      </c>
      <c r="S62" s="70" t="s">
        <v>94</v>
      </c>
      <c r="T62" s="70" t="s">
        <v>94</v>
      </c>
      <c r="U62" s="71"/>
      <c r="V62" s="73"/>
      <c r="W62" s="75"/>
      <c r="X62" s="64"/>
      <c r="Y62" s="51"/>
      <c r="Z62" s="51"/>
    </row>
    <row r="63" spans="1:33">
      <c r="A63" s="51">
        <v>103.07</v>
      </c>
      <c r="B63" s="51" t="s">
        <v>97</v>
      </c>
      <c r="C63" s="54"/>
      <c r="D63" s="51" t="s">
        <v>120</v>
      </c>
      <c r="E63" s="51"/>
      <c r="F63" s="55"/>
      <c r="G63" s="56" t="s">
        <v>576</v>
      </c>
      <c r="H63" s="57" t="s">
        <v>577</v>
      </c>
      <c r="I63" s="51"/>
      <c r="J63" s="51"/>
      <c r="K63" s="58"/>
      <c r="L63" s="59"/>
      <c r="M63" s="58">
        <v>2.7025462962962963E-2</v>
      </c>
      <c r="N63" s="58">
        <v>2.9224537037037038E-2</v>
      </c>
      <c r="O63" s="58">
        <f t="shared" si="4"/>
        <v>2.1990740740740755E-3</v>
      </c>
      <c r="P63" s="98">
        <v>43007</v>
      </c>
      <c r="Q63" s="79" t="str">
        <f t="shared" ca="1" si="0"/>
        <v>https://www.youtube.com/embed/8RSu4ymCgp4?start=2335&amp;end=2525&amp;autoplay=1</v>
      </c>
      <c r="R63" s="70" t="s">
        <v>94</v>
      </c>
      <c r="S63" s="70" t="s">
        <v>94</v>
      </c>
      <c r="T63" s="70" t="s">
        <v>94</v>
      </c>
      <c r="U63" s="71"/>
      <c r="V63" s="73"/>
      <c r="W63" s="75"/>
      <c r="X63" s="64"/>
      <c r="Y63" s="51"/>
      <c r="Z63" s="51"/>
    </row>
    <row r="64" spans="1:33">
      <c r="A64" s="51">
        <v>103.08</v>
      </c>
      <c r="B64" s="51" t="s">
        <v>97</v>
      </c>
      <c r="C64" s="51"/>
      <c r="D64" s="51" t="s">
        <v>120</v>
      </c>
      <c r="E64" s="51"/>
      <c r="F64" s="55"/>
      <c r="G64" s="56" t="s">
        <v>581</v>
      </c>
      <c r="H64" s="57" t="s">
        <v>582</v>
      </c>
      <c r="I64" s="51"/>
      <c r="J64" s="51"/>
      <c r="K64" s="58"/>
      <c r="L64" s="59"/>
      <c r="M64" s="58">
        <v>2.9259259259259259E-2</v>
      </c>
      <c r="N64" s="58">
        <v>2.9965277777777778E-2</v>
      </c>
      <c r="O64" s="58">
        <f t="shared" si="4"/>
        <v>7.0601851851851902E-4</v>
      </c>
      <c r="P64" s="98">
        <v>43007</v>
      </c>
      <c r="Q64" s="79" t="str">
        <f t="shared" ca="1" si="0"/>
        <v>https://www.youtube.com/embed/8RSu4ymCgp4?start=2528&amp;end=2589&amp;autoplay=1</v>
      </c>
      <c r="R64" s="70" t="s">
        <v>94</v>
      </c>
      <c r="S64" s="70" t="s">
        <v>94</v>
      </c>
      <c r="T64" s="70" t="s">
        <v>94</v>
      </c>
      <c r="U64" s="71"/>
      <c r="V64" s="73"/>
      <c r="W64" s="75"/>
      <c r="X64" s="64"/>
      <c r="Y64" s="51"/>
      <c r="Z64" s="51"/>
    </row>
    <row r="65" spans="1:37">
      <c r="A65" s="51">
        <v>103.09</v>
      </c>
      <c r="B65" s="51" t="s">
        <v>97</v>
      </c>
      <c r="C65" s="51"/>
      <c r="D65" s="51" t="s">
        <v>120</v>
      </c>
      <c r="E65" s="51"/>
      <c r="F65" s="55"/>
      <c r="G65" s="56" t="s">
        <v>585</v>
      </c>
      <c r="H65" s="57" t="s">
        <v>586</v>
      </c>
      <c r="I65" s="51"/>
      <c r="J65" s="51"/>
      <c r="K65" s="58"/>
      <c r="L65" s="59"/>
      <c r="M65" s="58">
        <v>3.0671296296296297E-2</v>
      </c>
      <c r="N65" s="58">
        <v>3.2060185185185185E-2</v>
      </c>
      <c r="O65" s="58">
        <f t="shared" si="4"/>
        <v>1.3888888888888874E-3</v>
      </c>
      <c r="P65" s="98">
        <v>43007</v>
      </c>
      <c r="Q65" s="79" t="str">
        <f t="shared" ca="1" si="0"/>
        <v>https://www.youtube.com/embed/8RSu4ymCgp4?start=2650&amp;end=2770&amp;autoplay=1</v>
      </c>
      <c r="R65" s="70" t="s">
        <v>94</v>
      </c>
      <c r="S65" s="70" t="s">
        <v>94</v>
      </c>
      <c r="T65" s="70" t="s">
        <v>94</v>
      </c>
      <c r="U65" s="71"/>
      <c r="V65" s="73"/>
      <c r="W65" s="75"/>
      <c r="X65" s="64"/>
      <c r="Y65" s="51"/>
      <c r="Z65" s="51"/>
    </row>
    <row r="66" spans="1:37">
      <c r="A66" s="51">
        <v>103.1</v>
      </c>
      <c r="B66" s="51" t="s">
        <v>97</v>
      </c>
      <c r="C66" s="51"/>
      <c r="D66" s="51" t="s">
        <v>120</v>
      </c>
      <c r="E66" s="51"/>
      <c r="F66" s="55"/>
      <c r="G66" s="56" t="s">
        <v>590</v>
      </c>
      <c r="H66" s="57" t="s">
        <v>591</v>
      </c>
      <c r="I66" s="51"/>
      <c r="J66" s="51"/>
      <c r="K66" s="58"/>
      <c r="L66" s="59"/>
      <c r="M66" s="58">
        <v>3.2175925925925927E-2</v>
      </c>
      <c r="N66" s="58">
        <v>3.726851851851852E-2</v>
      </c>
      <c r="O66" s="58">
        <f t="shared" si="4"/>
        <v>5.092592592592593E-3</v>
      </c>
      <c r="P66" s="98">
        <v>43007</v>
      </c>
      <c r="Q66" s="79" t="str">
        <f t="shared" ca="1" si="0"/>
        <v>https://www.youtube.com/embed/8RSu4ymCgp4?start=2780&amp;end=3220&amp;autoplay=1</v>
      </c>
      <c r="R66" s="70" t="s">
        <v>94</v>
      </c>
      <c r="S66" s="70" t="s">
        <v>94</v>
      </c>
      <c r="T66" s="70" t="s">
        <v>94</v>
      </c>
      <c r="U66" s="71"/>
      <c r="V66" s="73"/>
      <c r="W66" s="75"/>
      <c r="X66" s="64"/>
      <c r="Y66" s="51"/>
      <c r="Z66" s="51"/>
    </row>
    <row r="67" spans="1:37">
      <c r="A67" s="51">
        <v>103.11</v>
      </c>
      <c r="B67" s="51" t="s">
        <v>97</v>
      </c>
      <c r="C67" s="51"/>
      <c r="D67" s="51" t="s">
        <v>120</v>
      </c>
      <c r="E67" s="51"/>
      <c r="F67" s="55"/>
      <c r="G67" s="56" t="s">
        <v>592</v>
      </c>
      <c r="H67" s="57"/>
      <c r="I67" s="51"/>
      <c r="J67" s="51"/>
      <c r="K67" s="58"/>
      <c r="L67" s="59"/>
      <c r="M67" s="58">
        <v>3.7731481481481484E-2</v>
      </c>
      <c r="N67" s="58">
        <v>3.923611111111111E-2</v>
      </c>
      <c r="O67" s="58">
        <f t="shared" si="4"/>
        <v>1.5046296296296266E-3</v>
      </c>
      <c r="P67" s="98">
        <v>43007</v>
      </c>
      <c r="Q67" s="79" t="str">
        <f t="shared" ca="1" si="0"/>
        <v>https://www.youtube.com/embed/8RSu4ymCgp4?start=3260&amp;end=3390&amp;autoplay=1</v>
      </c>
      <c r="R67" s="70" t="s">
        <v>94</v>
      </c>
      <c r="S67" s="70" t="s">
        <v>94</v>
      </c>
      <c r="T67" s="70" t="s">
        <v>94</v>
      </c>
      <c r="U67" s="71"/>
      <c r="V67" s="73"/>
      <c r="W67" s="75"/>
      <c r="X67" s="64"/>
      <c r="Y67" s="51"/>
      <c r="Z67" s="51"/>
    </row>
    <row r="68" spans="1:37">
      <c r="A68" s="51">
        <v>103.12</v>
      </c>
      <c r="B68" s="51" t="s">
        <v>97</v>
      </c>
      <c r="C68" s="51"/>
      <c r="D68" s="51" t="s">
        <v>120</v>
      </c>
      <c r="E68" s="51"/>
      <c r="F68" s="55"/>
      <c r="G68" s="56" t="s">
        <v>596</v>
      </c>
      <c r="H68" s="57"/>
      <c r="I68" s="51"/>
      <c r="J68" s="51"/>
      <c r="K68" s="58"/>
      <c r="L68" s="59"/>
      <c r="M68" s="58">
        <v>3.9317129629629632E-2</v>
      </c>
      <c r="N68" s="58">
        <v>4.1319444444444443E-2</v>
      </c>
      <c r="O68" s="58">
        <f t="shared" si="4"/>
        <v>2.0023148148148109E-3</v>
      </c>
      <c r="P68" s="98">
        <v>43007</v>
      </c>
      <c r="Q68" s="79" t="str">
        <f t="shared" ca="1" si="0"/>
        <v>https://www.youtube.com/embed/8RSu4ymCgp4?start=3397&amp;end=3570&amp;autoplay=1</v>
      </c>
      <c r="R68" s="70" t="s">
        <v>94</v>
      </c>
      <c r="S68" s="70" t="s">
        <v>94</v>
      </c>
      <c r="T68" s="70" t="s">
        <v>94</v>
      </c>
      <c r="U68" s="71"/>
      <c r="V68" s="73"/>
      <c r="W68" s="75"/>
      <c r="X68" s="64"/>
      <c r="Y68" s="51"/>
      <c r="Z68" s="51"/>
    </row>
    <row r="69" spans="1:37">
      <c r="A69" s="51">
        <v>103.13</v>
      </c>
      <c r="B69" s="51" t="s">
        <v>97</v>
      </c>
      <c r="C69" s="51"/>
      <c r="D69" s="51" t="s">
        <v>120</v>
      </c>
      <c r="E69" s="51"/>
      <c r="F69" s="55"/>
      <c r="G69" s="56" t="s">
        <v>598</v>
      </c>
      <c r="H69" s="57"/>
      <c r="I69" s="51"/>
      <c r="J69" s="51"/>
      <c r="K69" s="58"/>
      <c r="L69" s="59"/>
      <c r="M69" s="58">
        <v>4.1412037037037039E-2</v>
      </c>
      <c r="N69" s="58">
        <v>4.1666666666666664E-2</v>
      </c>
      <c r="O69" s="58">
        <f t="shared" si="4"/>
        <v>2.5462962962962549E-4</v>
      </c>
      <c r="P69" s="98">
        <v>43007</v>
      </c>
      <c r="Q69" s="79" t="str">
        <f t="shared" ca="1" si="0"/>
        <v>https://www.youtube.com/embed/8RSu4ymCgp4?start=3578&amp;end=3600&amp;autoplay=1</v>
      </c>
      <c r="R69" s="70" t="s">
        <v>94</v>
      </c>
      <c r="S69" s="70" t="s">
        <v>94</v>
      </c>
      <c r="T69" s="70" t="s">
        <v>94</v>
      </c>
      <c r="U69" s="71"/>
      <c r="V69" s="73"/>
      <c r="W69" s="75"/>
      <c r="X69" s="64"/>
      <c r="Y69" s="51"/>
      <c r="Z69" s="51"/>
    </row>
    <row r="70" spans="1:37">
      <c r="A70" s="51">
        <v>103.14</v>
      </c>
      <c r="B70" s="51" t="s">
        <v>97</v>
      </c>
      <c r="C70" s="51"/>
      <c r="D70" s="51" t="s">
        <v>120</v>
      </c>
      <c r="E70" s="51"/>
      <c r="F70" s="55"/>
      <c r="G70" s="56" t="s">
        <v>603</v>
      </c>
      <c r="H70" s="57" t="s">
        <v>604</v>
      </c>
      <c r="I70" s="51"/>
      <c r="J70" s="51"/>
      <c r="K70" s="58"/>
      <c r="L70" s="59"/>
      <c r="M70" s="58">
        <v>4.3402777777777776E-2</v>
      </c>
      <c r="N70" s="58">
        <v>5.0231481481481481E-2</v>
      </c>
      <c r="O70" s="58">
        <f t="shared" si="4"/>
        <v>6.8287037037037049E-3</v>
      </c>
      <c r="P70" s="98">
        <v>43007</v>
      </c>
      <c r="Q70" s="79" t="str">
        <f t="shared" ca="1" si="0"/>
        <v>https://www.youtube.com/embed/8RSu4ymCgp4?start=3750&amp;end=4340&amp;autoplay=1</v>
      </c>
      <c r="R70" s="70" t="s">
        <v>94</v>
      </c>
      <c r="S70" s="70" t="s">
        <v>94</v>
      </c>
      <c r="T70" s="70" t="s">
        <v>94</v>
      </c>
      <c r="U70" s="71"/>
      <c r="V70" s="73"/>
      <c r="W70" s="75"/>
      <c r="X70" s="64"/>
      <c r="Y70" s="51"/>
      <c r="Z70" s="51"/>
    </row>
    <row r="71" spans="1:37">
      <c r="A71" s="51">
        <v>103.15</v>
      </c>
      <c r="B71" s="51" t="s">
        <v>97</v>
      </c>
      <c r="C71" s="51"/>
      <c r="D71" s="51" t="s">
        <v>120</v>
      </c>
      <c r="E71" s="51"/>
      <c r="F71" s="55"/>
      <c r="G71" s="56" t="s">
        <v>606</v>
      </c>
      <c r="H71" s="57"/>
      <c r="I71" s="51"/>
      <c r="J71" s="51"/>
      <c r="K71" s="58"/>
      <c r="L71" s="59"/>
      <c r="M71" s="58">
        <v>5.2986111111111109E-2</v>
      </c>
      <c r="N71" s="58">
        <v>5.4282407407407404E-2</v>
      </c>
      <c r="O71" s="58">
        <f t="shared" si="4"/>
        <v>1.2962962962962954E-3</v>
      </c>
      <c r="P71" s="98">
        <v>43007</v>
      </c>
      <c r="Q71" s="79" t="str">
        <f t="shared" ca="1" si="0"/>
        <v>https://www.youtube.com/embed/8RSu4ymCgp4?start=4578&amp;end=4690&amp;autoplay=1</v>
      </c>
      <c r="R71" s="70" t="s">
        <v>94</v>
      </c>
      <c r="S71" s="70" t="s">
        <v>94</v>
      </c>
      <c r="T71" s="70" t="s">
        <v>94</v>
      </c>
      <c r="U71" s="71"/>
      <c r="V71" s="73"/>
      <c r="W71" s="75"/>
      <c r="X71" s="64"/>
      <c r="Y71" s="51"/>
      <c r="Z71" s="51"/>
    </row>
    <row r="72" spans="1:37">
      <c r="A72" s="51">
        <v>103.16</v>
      </c>
      <c r="B72" s="51" t="s">
        <v>97</v>
      </c>
      <c r="C72" s="51"/>
      <c r="D72" s="51" t="s">
        <v>120</v>
      </c>
      <c r="E72" s="51"/>
      <c r="F72" s="55"/>
      <c r="G72" s="56" t="s">
        <v>609</v>
      </c>
      <c r="H72" s="57" t="s">
        <v>610</v>
      </c>
      <c r="I72" s="51"/>
      <c r="J72" s="51"/>
      <c r="K72" s="58"/>
      <c r="L72" s="59"/>
      <c r="M72" s="58">
        <v>5.4398148148148147E-2</v>
      </c>
      <c r="N72" s="58">
        <v>5.5439814814814817E-2</v>
      </c>
      <c r="O72" s="58">
        <f t="shared" si="4"/>
        <v>1.0416666666666699E-3</v>
      </c>
      <c r="P72" s="98">
        <v>43007</v>
      </c>
      <c r="Q72" s="79" t="str">
        <f t="shared" ca="1" si="0"/>
        <v>https://www.youtube.com/embed/8RSu4ymCgp4?start=4700&amp;end=4790&amp;autoplay=1</v>
      </c>
      <c r="R72" s="70" t="s">
        <v>94</v>
      </c>
      <c r="S72" s="70" t="s">
        <v>94</v>
      </c>
      <c r="T72" s="70" t="s">
        <v>94</v>
      </c>
      <c r="U72" s="71"/>
      <c r="V72" s="73"/>
      <c r="W72" s="75"/>
      <c r="X72" s="64"/>
      <c r="Y72" s="51"/>
      <c r="Z72" s="51"/>
    </row>
    <row r="73" spans="1:37">
      <c r="A73" s="51">
        <v>103.17</v>
      </c>
      <c r="B73" s="51" t="s">
        <v>97</v>
      </c>
      <c r="C73" s="51"/>
      <c r="D73" s="51" t="s">
        <v>120</v>
      </c>
      <c r="E73" s="51"/>
      <c r="F73" s="55"/>
      <c r="G73" s="56" t="s">
        <v>612</v>
      </c>
      <c r="H73" s="57"/>
      <c r="I73" s="51"/>
      <c r="J73" s="51"/>
      <c r="K73" s="58"/>
      <c r="L73" s="59"/>
      <c r="M73" s="58">
        <v>5.9444444444444446E-2</v>
      </c>
      <c r="N73" s="58">
        <v>6.5277777777777782E-2</v>
      </c>
      <c r="O73" s="58">
        <f t="shared" si="4"/>
        <v>5.8333333333333362E-3</v>
      </c>
      <c r="P73" s="98">
        <v>43007</v>
      </c>
      <c r="Q73" s="79" t="str">
        <f t="shared" ca="1" si="0"/>
        <v>https://www.youtube.com/embed/8RSu4ymCgp4?start=5136&amp;end=5640&amp;autoplay=1</v>
      </c>
      <c r="R73" s="70" t="s">
        <v>94</v>
      </c>
      <c r="S73" s="70" t="s">
        <v>94</v>
      </c>
      <c r="T73" s="70" t="s">
        <v>94</v>
      </c>
      <c r="U73" s="71"/>
      <c r="V73" s="73"/>
      <c r="W73" s="75"/>
      <c r="X73" s="64"/>
      <c r="Y73" s="51"/>
      <c r="Z73" s="51"/>
    </row>
    <row r="74" spans="1:37">
      <c r="A74" s="51">
        <v>103.18</v>
      </c>
      <c r="B74" s="51" t="s">
        <v>97</v>
      </c>
      <c r="C74" s="51"/>
      <c r="D74" s="51" t="s">
        <v>120</v>
      </c>
      <c r="E74" s="51"/>
      <c r="F74" s="55"/>
      <c r="G74" s="56" t="s">
        <v>614</v>
      </c>
      <c r="H74" s="57"/>
      <c r="I74" s="51"/>
      <c r="J74" s="51"/>
      <c r="K74" s="58"/>
      <c r="L74" s="59"/>
      <c r="M74" s="58">
        <v>7.0601851851851846E-2</v>
      </c>
      <c r="N74" s="58">
        <v>7.1574074074074068E-2</v>
      </c>
      <c r="O74" s="58">
        <f t="shared" si="4"/>
        <v>9.7222222222222154E-4</v>
      </c>
      <c r="P74" s="98">
        <v>43007</v>
      </c>
      <c r="Q74" s="79" t="str">
        <f t="shared" ca="1" si="0"/>
        <v>https://www.youtube.com/embed/8RSu4ymCgp4?start=6100&amp;end=6184&amp;autoplay=1</v>
      </c>
      <c r="R74" s="70" t="s">
        <v>94</v>
      </c>
      <c r="S74" s="70" t="s">
        <v>94</v>
      </c>
      <c r="T74" s="70" t="s">
        <v>94</v>
      </c>
      <c r="U74" s="71"/>
      <c r="V74" s="73"/>
      <c r="W74" s="75"/>
      <c r="X74" s="64"/>
      <c r="Y74" s="51"/>
      <c r="Z74" s="51"/>
    </row>
    <row r="75" spans="1:37">
      <c r="A75" s="51">
        <v>103.19</v>
      </c>
      <c r="B75" s="51" t="s">
        <v>97</v>
      </c>
      <c r="C75" s="54"/>
      <c r="D75" s="51" t="s">
        <v>120</v>
      </c>
      <c r="E75" s="51"/>
      <c r="F75" s="55"/>
      <c r="G75" s="56" t="s">
        <v>615</v>
      </c>
      <c r="H75" s="57"/>
      <c r="I75" s="51"/>
      <c r="J75" s="51"/>
      <c r="K75" s="58"/>
      <c r="L75" s="59"/>
      <c r="M75" s="58">
        <v>8.2233796296296291E-2</v>
      </c>
      <c r="N75" s="58">
        <v>8.6851851851851847E-2</v>
      </c>
      <c r="O75" s="58">
        <f t="shared" si="4"/>
        <v>4.6180555555555558E-3</v>
      </c>
      <c r="P75" s="98">
        <v>43007</v>
      </c>
      <c r="Q75" s="79" t="str">
        <f t="shared" ca="1" si="0"/>
        <v>https://www.youtube.com/embed/8RSu4ymCgp4?start=7105&amp;end=7504&amp;autoplay=1</v>
      </c>
      <c r="R75" s="70" t="s">
        <v>94</v>
      </c>
      <c r="S75" s="70" t="s">
        <v>94</v>
      </c>
      <c r="T75" s="70" t="s">
        <v>94</v>
      </c>
      <c r="U75" s="71"/>
      <c r="V75" s="73"/>
      <c r="W75" s="75"/>
      <c r="X75" s="64"/>
      <c r="Y75" s="51"/>
      <c r="Z75" s="51"/>
    </row>
    <row r="76" spans="1:37">
      <c r="A76" s="51">
        <v>107</v>
      </c>
      <c r="B76" s="51" t="s">
        <v>97</v>
      </c>
      <c r="C76" s="51"/>
      <c r="D76" s="51" t="s">
        <v>120</v>
      </c>
      <c r="E76" s="51" t="s">
        <v>618</v>
      </c>
      <c r="F76" s="55" t="s">
        <v>619</v>
      </c>
      <c r="G76" s="56"/>
      <c r="H76" s="57"/>
      <c r="I76" s="51"/>
      <c r="J76" s="51">
        <f>11*1000</f>
        <v>11000</v>
      </c>
      <c r="K76" s="58">
        <v>8.446759259259258E-2</v>
      </c>
      <c r="L76" s="59" t="s">
        <v>459</v>
      </c>
      <c r="M76" s="58"/>
      <c r="N76" s="58"/>
      <c r="O76" s="51"/>
      <c r="P76" s="98"/>
      <c r="Q76" s="37" t="str">
        <f t="shared" ca="1" si="0"/>
        <v/>
      </c>
      <c r="R76" s="70"/>
      <c r="S76" s="70"/>
      <c r="T76" s="70"/>
      <c r="U76" s="71"/>
      <c r="V76" s="73"/>
      <c r="W76" s="75"/>
      <c r="X76" s="64"/>
      <c r="Y76" s="51"/>
      <c r="Z76" s="51"/>
      <c r="AH76" s="5"/>
      <c r="AI76" s="5"/>
      <c r="AJ76" s="5"/>
      <c r="AK76" s="5"/>
    </row>
    <row r="77" spans="1:37">
      <c r="A77" s="51">
        <v>107.01</v>
      </c>
      <c r="B77" s="51" t="s">
        <v>97</v>
      </c>
      <c r="C77" s="51"/>
      <c r="D77" s="51" t="s">
        <v>120</v>
      </c>
      <c r="E77" s="51"/>
      <c r="F77" s="55"/>
      <c r="G77" s="56" t="s">
        <v>620</v>
      </c>
      <c r="H77" s="57"/>
      <c r="I77" s="51"/>
      <c r="J77" s="51"/>
      <c r="K77" s="58"/>
      <c r="L77" s="59"/>
      <c r="M77" s="58">
        <v>2.013888888888889E-2</v>
      </c>
      <c r="N77" s="58">
        <v>2.3148148148148147E-2</v>
      </c>
      <c r="O77" s="58">
        <f t="shared" ref="O77:O90" si="5">N77-M77</f>
        <v>3.0092592592592567E-3</v>
      </c>
      <c r="P77" s="98">
        <v>43008</v>
      </c>
      <c r="Q77" s="79" t="str">
        <f t="shared" ca="1" si="0"/>
        <v>https://www.youtube.com/embed/Vf5BOYF0S3Y?start=1740&amp;end=2000&amp;autoplay=1</v>
      </c>
      <c r="R77" s="70"/>
      <c r="S77" s="70"/>
      <c r="T77" s="70"/>
      <c r="U77" s="71"/>
      <c r="V77" s="73"/>
      <c r="W77" s="75"/>
      <c r="X77" s="64"/>
      <c r="Y77" s="51"/>
      <c r="Z77" s="51"/>
    </row>
    <row r="78" spans="1:37">
      <c r="A78" s="51">
        <v>107.02</v>
      </c>
      <c r="B78" s="51" t="s">
        <v>97</v>
      </c>
      <c r="C78" s="51"/>
      <c r="D78" s="51" t="s">
        <v>120</v>
      </c>
      <c r="E78" s="51"/>
      <c r="F78" s="55"/>
      <c r="G78" s="56" t="s">
        <v>623</v>
      </c>
      <c r="H78" s="57"/>
      <c r="I78" s="51"/>
      <c r="J78" s="51"/>
      <c r="K78" s="58"/>
      <c r="L78" s="59"/>
      <c r="M78" s="58">
        <v>2.0833333333333332E-2</v>
      </c>
      <c r="N78" s="58">
        <v>2.2280092592592591E-2</v>
      </c>
      <c r="O78" s="58">
        <f t="shared" si="5"/>
        <v>1.4467592592592587E-3</v>
      </c>
      <c r="P78" s="98">
        <v>43008</v>
      </c>
      <c r="Q78" s="79" t="str">
        <f t="shared" ca="1" si="0"/>
        <v>https://www.youtube.com/embed/Vf5BOYF0S3Y?start=1800&amp;end=1925&amp;autoplay=1</v>
      </c>
      <c r="R78" s="70"/>
      <c r="S78" s="70"/>
      <c r="T78" s="70"/>
      <c r="U78" s="71"/>
      <c r="V78" s="73"/>
      <c r="W78" s="75"/>
      <c r="X78" s="64"/>
      <c r="Y78" s="51"/>
      <c r="Z78" s="51"/>
    </row>
    <row r="79" spans="1:37">
      <c r="A79" s="51">
        <v>107.03</v>
      </c>
      <c r="B79" s="51" t="s">
        <v>97</v>
      </c>
      <c r="C79" s="51"/>
      <c r="D79" s="51" t="s">
        <v>120</v>
      </c>
      <c r="E79" s="51"/>
      <c r="F79" s="55"/>
      <c r="G79" s="56" t="s">
        <v>624</v>
      </c>
      <c r="H79" s="57"/>
      <c r="I79" s="51"/>
      <c r="J79" s="51"/>
      <c r="K79" s="58"/>
      <c r="L79" s="59"/>
      <c r="M79" s="58">
        <v>2.1469907407407406E-2</v>
      </c>
      <c r="N79" s="58">
        <v>2.2280092592592591E-2</v>
      </c>
      <c r="O79" s="58">
        <f t="shared" si="5"/>
        <v>8.1018518518518462E-4</v>
      </c>
      <c r="P79" s="98">
        <v>43008</v>
      </c>
      <c r="Q79" s="79" t="str">
        <f t="shared" ca="1" si="0"/>
        <v>https://www.youtube.com/embed/Vf5BOYF0S3Y?start=1855&amp;end=1925&amp;autoplay=1</v>
      </c>
      <c r="R79" s="70"/>
      <c r="S79" s="70"/>
      <c r="T79" s="70"/>
      <c r="U79" s="71"/>
      <c r="V79" s="73"/>
      <c r="W79" s="75"/>
      <c r="X79" s="64"/>
      <c r="Y79" s="51"/>
      <c r="Z79" s="51"/>
    </row>
    <row r="80" spans="1:37">
      <c r="A80" s="51">
        <v>107.04</v>
      </c>
      <c r="B80" s="51" t="s">
        <v>97</v>
      </c>
      <c r="C80" s="54"/>
      <c r="D80" s="51" t="s">
        <v>120</v>
      </c>
      <c r="E80" s="51"/>
      <c r="F80" s="55"/>
      <c r="G80" s="56" t="s">
        <v>627</v>
      </c>
      <c r="H80" s="57"/>
      <c r="I80" s="51"/>
      <c r="J80" s="51"/>
      <c r="K80" s="58"/>
      <c r="L80" s="59"/>
      <c r="M80" s="58">
        <v>2.0949074074074075E-2</v>
      </c>
      <c r="N80" s="58">
        <v>2.8125000000000001E-2</v>
      </c>
      <c r="O80" s="58">
        <f t="shared" si="5"/>
        <v>7.1759259259259259E-3</v>
      </c>
      <c r="P80" s="98">
        <v>43008</v>
      </c>
      <c r="Q80" s="79" t="str">
        <f t="shared" ca="1" si="0"/>
        <v>https://www.youtube.com/embed/Vf5BOYF0S3Y?start=1810&amp;end=2430&amp;autoplay=1</v>
      </c>
      <c r="R80" s="70"/>
      <c r="S80" s="70"/>
      <c r="T80" s="70"/>
      <c r="U80" s="71"/>
      <c r="V80" s="73"/>
      <c r="W80" s="75"/>
      <c r="X80" s="64"/>
      <c r="Y80" s="51"/>
      <c r="Z80" s="51"/>
    </row>
    <row r="81" spans="1:37">
      <c r="A81" s="51">
        <v>107.05</v>
      </c>
      <c r="B81" s="51" t="s">
        <v>97</v>
      </c>
      <c r="C81" s="51"/>
      <c r="D81" s="51" t="s">
        <v>120</v>
      </c>
      <c r="E81" s="51"/>
      <c r="F81" s="55"/>
      <c r="G81" s="56" t="s">
        <v>628</v>
      </c>
      <c r="H81" s="57"/>
      <c r="I81" s="51"/>
      <c r="J81" s="51"/>
      <c r="K81" s="58"/>
      <c r="L81" s="59"/>
      <c r="M81" s="58">
        <v>2.8182870370370372E-2</v>
      </c>
      <c r="N81" s="58">
        <v>2.9224537037037038E-2</v>
      </c>
      <c r="O81" s="58">
        <f t="shared" si="5"/>
        <v>1.0416666666666664E-3</v>
      </c>
      <c r="P81" s="98">
        <v>43008</v>
      </c>
      <c r="Q81" s="79" t="str">
        <f t="shared" ca="1" si="0"/>
        <v>https://www.youtube.com/embed/Vf5BOYF0S3Y?start=2435&amp;end=2525&amp;autoplay=1</v>
      </c>
      <c r="R81" s="70"/>
      <c r="S81" s="70"/>
      <c r="T81" s="70"/>
      <c r="U81" s="71"/>
      <c r="V81" s="73"/>
      <c r="W81" s="75"/>
      <c r="X81" s="64"/>
      <c r="Y81" s="51"/>
      <c r="Z81" s="51"/>
    </row>
    <row r="82" spans="1:37">
      <c r="A82" s="51">
        <v>107.06</v>
      </c>
      <c r="B82" s="51" t="s">
        <v>97</v>
      </c>
      <c r="C82" s="51"/>
      <c r="D82" s="51" t="s">
        <v>120</v>
      </c>
      <c r="E82" s="51"/>
      <c r="F82" s="55"/>
      <c r="G82" s="56" t="s">
        <v>633</v>
      </c>
      <c r="H82" s="57"/>
      <c r="I82" s="51"/>
      <c r="J82" s="51"/>
      <c r="K82" s="58"/>
      <c r="L82" s="59"/>
      <c r="M82" s="58">
        <v>2.9282407407407406E-2</v>
      </c>
      <c r="N82" s="58">
        <v>3.0902777777777779E-2</v>
      </c>
      <c r="O82" s="58">
        <f t="shared" si="5"/>
        <v>1.6203703703703727E-3</v>
      </c>
      <c r="P82" s="98">
        <v>43008</v>
      </c>
      <c r="Q82" s="79" t="str">
        <f t="shared" ca="1" si="0"/>
        <v>https://www.youtube.com/embed/Vf5BOYF0S3Y?start=2530&amp;end=2670&amp;autoplay=1</v>
      </c>
      <c r="R82" s="70"/>
      <c r="S82" s="70"/>
      <c r="T82" s="70"/>
      <c r="U82" s="71"/>
      <c r="V82" s="73"/>
      <c r="W82" s="75"/>
      <c r="X82" s="64"/>
      <c r="Y82" s="51"/>
      <c r="Z82" s="51"/>
    </row>
    <row r="83" spans="1:37">
      <c r="A83" s="51">
        <v>107.07</v>
      </c>
      <c r="B83" s="51" t="s">
        <v>97</v>
      </c>
      <c r="C83" s="51"/>
      <c r="D83" s="51" t="s">
        <v>120</v>
      </c>
      <c r="E83" s="51"/>
      <c r="F83" s="55"/>
      <c r="G83" s="56" t="s">
        <v>636</v>
      </c>
      <c r="H83" s="57"/>
      <c r="I83" s="51"/>
      <c r="J83" s="51"/>
      <c r="K83" s="58"/>
      <c r="L83" s="59"/>
      <c r="M83" s="58">
        <v>3.0960648148148147E-2</v>
      </c>
      <c r="N83" s="58">
        <v>3.321759259259259E-2</v>
      </c>
      <c r="O83" s="58">
        <f t="shared" si="5"/>
        <v>2.2569444444444434E-3</v>
      </c>
      <c r="P83" s="98">
        <v>43008</v>
      </c>
      <c r="Q83" s="79" t="str">
        <f t="shared" ca="1" si="0"/>
        <v>https://www.youtube.com/embed/Vf5BOYF0S3Y?start=2675&amp;end=2870&amp;autoplay=1</v>
      </c>
      <c r="R83" s="70"/>
      <c r="S83" s="70"/>
      <c r="T83" s="70"/>
      <c r="U83" s="71"/>
      <c r="V83" s="73"/>
      <c r="W83" s="75"/>
      <c r="X83" s="64"/>
      <c r="Y83" s="51"/>
      <c r="Z83" s="51"/>
    </row>
    <row r="84" spans="1:37">
      <c r="A84" s="51">
        <v>107.08</v>
      </c>
      <c r="B84" s="51" t="s">
        <v>97</v>
      </c>
      <c r="C84" s="51"/>
      <c r="D84" s="51" t="s">
        <v>120</v>
      </c>
      <c r="E84" s="51"/>
      <c r="F84" s="55"/>
      <c r="G84" s="56" t="s">
        <v>637</v>
      </c>
      <c r="H84" s="57"/>
      <c r="I84" s="51"/>
      <c r="J84" s="51"/>
      <c r="K84" s="58"/>
      <c r="L84" s="59"/>
      <c r="M84" s="58">
        <v>3.7152777777777778E-2</v>
      </c>
      <c r="N84" s="58">
        <v>3.9930555555555552E-2</v>
      </c>
      <c r="O84" s="58">
        <f t="shared" si="5"/>
        <v>2.7777777777777748E-3</v>
      </c>
      <c r="P84" s="98">
        <v>43008</v>
      </c>
      <c r="Q84" s="79" t="str">
        <f t="shared" ca="1" si="0"/>
        <v>https://www.youtube.com/embed/Vf5BOYF0S3Y?start=3210&amp;end=3450&amp;autoplay=1</v>
      </c>
      <c r="R84" s="70"/>
      <c r="S84" s="70"/>
      <c r="T84" s="70"/>
      <c r="U84" s="71"/>
      <c r="V84" s="73"/>
      <c r="W84" s="75"/>
      <c r="X84" s="64"/>
      <c r="Y84" s="51"/>
      <c r="Z84" s="51"/>
    </row>
    <row r="85" spans="1:37">
      <c r="A85" s="51">
        <v>107.09</v>
      </c>
      <c r="B85" s="51" t="s">
        <v>97</v>
      </c>
      <c r="C85" s="51"/>
      <c r="D85" s="51" t="s">
        <v>120</v>
      </c>
      <c r="E85" s="51"/>
      <c r="F85" s="55"/>
      <c r="G85" s="56" t="s">
        <v>641</v>
      </c>
      <c r="H85" s="57"/>
      <c r="I85" s="51"/>
      <c r="J85" s="51"/>
      <c r="K85" s="58"/>
      <c r="L85" s="59"/>
      <c r="M85" s="58">
        <v>4.1666666666666664E-2</v>
      </c>
      <c r="N85" s="58">
        <v>4.4097222222222225E-2</v>
      </c>
      <c r="O85" s="58">
        <f t="shared" si="5"/>
        <v>2.4305555555555608E-3</v>
      </c>
      <c r="P85" s="98">
        <v>43008</v>
      </c>
      <c r="Q85" s="79" t="str">
        <f t="shared" ca="1" si="0"/>
        <v>https://www.youtube.com/embed/Vf5BOYF0S3Y?start=3600&amp;end=3810&amp;autoplay=1</v>
      </c>
      <c r="R85" s="70"/>
      <c r="S85" s="70"/>
      <c r="T85" s="70"/>
      <c r="U85" s="71"/>
      <c r="V85" s="73"/>
      <c r="W85" s="75"/>
      <c r="X85" s="64"/>
      <c r="Y85" s="51"/>
      <c r="Z85" s="51"/>
    </row>
    <row r="86" spans="1:37">
      <c r="A86" s="51">
        <v>107.1</v>
      </c>
      <c r="B86" s="51" t="s">
        <v>97</v>
      </c>
      <c r="C86" s="51"/>
      <c r="D86" s="51" t="s">
        <v>120</v>
      </c>
      <c r="E86" s="51"/>
      <c r="F86" s="55"/>
      <c r="G86" s="56" t="s">
        <v>642</v>
      </c>
      <c r="H86" s="57"/>
      <c r="I86" s="51"/>
      <c r="J86" s="51"/>
      <c r="K86" s="58"/>
      <c r="L86" s="59"/>
      <c r="M86" s="58">
        <v>4.5497685185185183E-2</v>
      </c>
      <c r="N86" s="58">
        <v>4.7569444444444442E-2</v>
      </c>
      <c r="O86" s="58">
        <f t="shared" si="5"/>
        <v>2.0717592592592593E-3</v>
      </c>
      <c r="P86" s="98">
        <v>43008</v>
      </c>
      <c r="Q86" s="79" t="str">
        <f t="shared" ca="1" si="0"/>
        <v>https://www.youtube.com/embed/Vf5BOYF0S3Y?start=3931&amp;end=4110&amp;autoplay=1</v>
      </c>
      <c r="R86" s="70"/>
      <c r="S86" s="70"/>
      <c r="T86" s="70"/>
      <c r="U86" s="71"/>
      <c r="V86" s="73"/>
      <c r="W86" s="75"/>
      <c r="X86" s="64"/>
      <c r="Y86" s="51"/>
      <c r="Z86" s="51"/>
    </row>
    <row r="87" spans="1:37">
      <c r="A87" s="51">
        <v>107.11</v>
      </c>
      <c r="B87" s="51" t="s">
        <v>97</v>
      </c>
      <c r="C87" s="51"/>
      <c r="D87" s="51" t="s">
        <v>120</v>
      </c>
      <c r="E87" s="51"/>
      <c r="F87" s="55"/>
      <c r="G87" s="56" t="s">
        <v>647</v>
      </c>
      <c r="H87" s="57" t="s">
        <v>648</v>
      </c>
      <c r="I87" s="51"/>
      <c r="J87" s="51"/>
      <c r="K87" s="58"/>
      <c r="L87" s="59"/>
      <c r="M87" s="58">
        <v>5.4247685185185184E-2</v>
      </c>
      <c r="N87" s="58">
        <v>5.5150462962962964E-2</v>
      </c>
      <c r="O87" s="58">
        <f t="shared" si="5"/>
        <v>9.0277777777778012E-4</v>
      </c>
      <c r="P87" s="98">
        <v>43009</v>
      </c>
      <c r="Q87" s="79" t="str">
        <f t="shared" ca="1" si="0"/>
        <v>https://www.youtube.com/embed/Vf5BOYF0S3Y?start=4687&amp;end=4765&amp;autoplay=1</v>
      </c>
      <c r="R87" s="70"/>
      <c r="S87" s="70"/>
      <c r="T87" s="70"/>
      <c r="U87" s="71"/>
      <c r="V87" s="73"/>
      <c r="W87" s="75"/>
      <c r="X87" s="64"/>
      <c r="Y87" s="51"/>
      <c r="Z87" s="51"/>
    </row>
    <row r="88" spans="1:37">
      <c r="A88" s="51">
        <v>107.12</v>
      </c>
      <c r="B88" s="51" t="s">
        <v>97</v>
      </c>
      <c r="C88" s="51"/>
      <c r="D88" s="51" t="s">
        <v>120</v>
      </c>
      <c r="E88" s="51"/>
      <c r="F88" s="55"/>
      <c r="G88" s="56" t="s">
        <v>649</v>
      </c>
      <c r="H88" s="57"/>
      <c r="I88" s="51"/>
      <c r="J88" s="51"/>
      <c r="K88" s="58"/>
      <c r="L88" s="59"/>
      <c r="M88" s="58">
        <v>6.0381944444444446E-2</v>
      </c>
      <c r="N88" s="58">
        <v>6.1863425925925926E-2</v>
      </c>
      <c r="O88" s="58">
        <f t="shared" si="5"/>
        <v>1.4814814814814795E-3</v>
      </c>
      <c r="P88" s="98">
        <v>43009</v>
      </c>
      <c r="Q88" s="79" t="str">
        <f t="shared" ca="1" si="0"/>
        <v>https://www.youtube.com/embed/Vf5BOYF0S3Y?start=5217&amp;end=5345&amp;autoplay=1</v>
      </c>
      <c r="R88" s="70"/>
      <c r="S88" s="70"/>
      <c r="T88" s="70"/>
      <c r="U88" s="71"/>
      <c r="V88" s="73"/>
      <c r="W88" s="75"/>
      <c r="X88" s="64"/>
      <c r="Y88" s="51"/>
      <c r="Z88" s="51"/>
    </row>
    <row r="89" spans="1:37">
      <c r="A89" s="51">
        <v>107.13</v>
      </c>
      <c r="B89" s="51" t="s">
        <v>97</v>
      </c>
      <c r="C89" s="51"/>
      <c r="D89" s="51" t="s">
        <v>120</v>
      </c>
      <c r="E89" s="51"/>
      <c r="F89" s="55"/>
      <c r="G89" s="56" t="s">
        <v>652</v>
      </c>
      <c r="H89" s="57"/>
      <c r="I89" s="51"/>
      <c r="J89" s="51"/>
      <c r="K89" s="58"/>
      <c r="L89" s="59"/>
      <c r="M89" s="58">
        <v>6.2708333333333338E-2</v>
      </c>
      <c r="N89" s="58">
        <v>6.4814814814814811E-2</v>
      </c>
      <c r="O89" s="58">
        <f t="shared" si="5"/>
        <v>2.1064814814814731E-3</v>
      </c>
      <c r="P89" s="98">
        <v>43009</v>
      </c>
      <c r="Q89" s="79" t="str">
        <f t="shared" ca="1" si="0"/>
        <v>https://www.youtube.com/embed/Vf5BOYF0S3Y?start=5418&amp;end=5600&amp;autoplay=1</v>
      </c>
      <c r="R89" s="70"/>
      <c r="S89" s="70"/>
      <c r="T89" s="70"/>
      <c r="U89" s="71"/>
      <c r="V89" s="73"/>
      <c r="W89" s="75"/>
      <c r="X89" s="64"/>
      <c r="Y89" s="51"/>
      <c r="Z89" s="51"/>
    </row>
    <row r="90" spans="1:37">
      <c r="A90" s="51">
        <v>107.14</v>
      </c>
      <c r="B90" s="51" t="s">
        <v>97</v>
      </c>
      <c r="C90" s="51"/>
      <c r="D90" s="51" t="s">
        <v>120</v>
      </c>
      <c r="E90" s="51"/>
      <c r="F90" s="55"/>
      <c r="G90" s="56" t="s">
        <v>653</v>
      </c>
      <c r="H90" s="57"/>
      <c r="I90" s="51"/>
      <c r="J90" s="51"/>
      <c r="K90" s="58"/>
      <c r="L90" s="59"/>
      <c r="M90" s="58">
        <v>7.2337962962962965E-2</v>
      </c>
      <c r="N90" s="58">
        <v>7.3854166666666665E-2</v>
      </c>
      <c r="O90" s="58">
        <f t="shared" si="5"/>
        <v>1.5162037037037002E-3</v>
      </c>
      <c r="P90" s="98">
        <v>43009</v>
      </c>
      <c r="Q90" s="79" t="str">
        <f t="shared" ca="1" si="0"/>
        <v>https://www.youtube.com/embed/Vf5BOYF0S3Y?start=6250&amp;end=6381&amp;autoplay=1</v>
      </c>
      <c r="R90" s="70"/>
      <c r="S90" s="70"/>
      <c r="T90" s="70"/>
      <c r="U90" s="71"/>
      <c r="V90" s="73"/>
      <c r="W90" s="75"/>
      <c r="X90" s="64"/>
      <c r="Y90" s="51"/>
      <c r="Z90" s="51"/>
    </row>
    <row r="91" spans="1:37">
      <c r="A91" s="51">
        <v>79</v>
      </c>
      <c r="B91" s="51" t="s">
        <v>97</v>
      </c>
      <c r="C91" s="51"/>
      <c r="D91" s="51" t="s">
        <v>120</v>
      </c>
      <c r="E91" s="51" t="s">
        <v>555</v>
      </c>
      <c r="F91" s="55" t="s">
        <v>556</v>
      </c>
      <c r="G91" s="56"/>
      <c r="H91" s="57"/>
      <c r="I91" s="51"/>
      <c r="J91" s="51">
        <f>5.8*1000</f>
        <v>5800</v>
      </c>
      <c r="K91" s="58">
        <v>3.2534722222222222E-2</v>
      </c>
      <c r="L91" s="59" t="s">
        <v>459</v>
      </c>
      <c r="M91" s="58"/>
      <c r="N91" s="58"/>
      <c r="O91" s="51"/>
      <c r="P91" s="60"/>
      <c r="Q91" s="37" t="str">
        <f t="shared" ca="1" si="0"/>
        <v/>
      </c>
      <c r="R91" s="104"/>
      <c r="S91" s="70"/>
      <c r="T91" s="70"/>
      <c r="U91" s="71"/>
      <c r="V91" s="73"/>
      <c r="W91" s="75"/>
      <c r="X91" s="64"/>
      <c r="Y91" s="51"/>
      <c r="Z91" s="51"/>
      <c r="AH91" s="5"/>
      <c r="AI91" s="5"/>
      <c r="AJ91" s="5"/>
      <c r="AK91" s="5"/>
    </row>
    <row r="92" spans="1:37">
      <c r="A92" s="105">
        <v>79.010000000000005</v>
      </c>
      <c r="B92" s="51" t="s">
        <v>97</v>
      </c>
      <c r="C92" s="54"/>
      <c r="D92" s="51" t="s">
        <v>120</v>
      </c>
      <c r="E92" s="51"/>
      <c r="F92" s="51"/>
      <c r="G92" s="51" t="s">
        <v>664</v>
      </c>
      <c r="H92" s="76"/>
      <c r="I92" s="51"/>
      <c r="J92" s="51"/>
      <c r="K92" s="58"/>
      <c r="L92" s="59"/>
      <c r="M92" s="58">
        <v>1.3819444444444445E-2</v>
      </c>
      <c r="N92" s="58">
        <v>1.4953703703703703E-2</v>
      </c>
      <c r="O92" s="77">
        <f>N92-M92</f>
        <v>1.1342592592592585E-3</v>
      </c>
      <c r="P92" s="60">
        <v>43009</v>
      </c>
      <c r="Q92" s="79" t="str">
        <f t="shared" ca="1" si="0"/>
        <v>https://www.youtube.com/embed/uDANJcQm-So?start=1194&amp;end=1292&amp;autoplay=1</v>
      </c>
      <c r="R92" s="104"/>
      <c r="S92" s="70"/>
      <c r="T92" s="70"/>
      <c r="U92" s="71"/>
      <c r="V92" s="73"/>
      <c r="W92" s="75"/>
      <c r="X92" s="64"/>
      <c r="Y92" s="51"/>
      <c r="Z92" s="51"/>
    </row>
    <row r="93" spans="1:37">
      <c r="A93" s="54">
        <v>94</v>
      </c>
      <c r="B93" s="51" t="s">
        <v>97</v>
      </c>
      <c r="C93" s="51"/>
      <c r="D93" s="51" t="s">
        <v>120</v>
      </c>
      <c r="E93" s="51" t="s">
        <v>631</v>
      </c>
      <c r="F93" s="106" t="s">
        <v>632</v>
      </c>
      <c r="G93" s="51"/>
      <c r="H93" s="57"/>
      <c r="I93" s="51"/>
      <c r="J93" s="51">
        <f>2.5*1000</f>
        <v>2500</v>
      </c>
      <c r="K93" s="58">
        <v>6.6493055555555555E-2</v>
      </c>
      <c r="L93" s="59" t="s">
        <v>459</v>
      </c>
      <c r="M93" s="58"/>
      <c r="N93" s="58"/>
      <c r="O93" s="77"/>
      <c r="P93" s="60"/>
      <c r="Q93" s="37" t="str">
        <f t="shared" ca="1" si="0"/>
        <v/>
      </c>
      <c r="R93" s="104"/>
      <c r="S93" s="70"/>
      <c r="T93" s="70"/>
      <c r="U93" s="71"/>
      <c r="V93" s="73"/>
      <c r="W93" s="75"/>
      <c r="X93" s="64"/>
      <c r="Y93" s="51"/>
      <c r="Z93" s="51"/>
    </row>
    <row r="94" spans="1:37">
      <c r="A94" s="105">
        <v>94.01</v>
      </c>
      <c r="B94" s="51" t="s">
        <v>97</v>
      </c>
      <c r="C94" s="51"/>
      <c r="D94" s="51" t="s">
        <v>120</v>
      </c>
      <c r="E94" s="51"/>
      <c r="F94" s="51"/>
      <c r="G94" s="51" t="s">
        <v>668</v>
      </c>
      <c r="H94" s="37"/>
      <c r="I94" s="51"/>
      <c r="J94" s="51"/>
      <c r="K94" s="58"/>
      <c r="L94" s="59"/>
      <c r="M94" s="58">
        <v>1.0462962962962962E-2</v>
      </c>
      <c r="N94" s="58">
        <v>1.6423611111111111E-2</v>
      </c>
      <c r="O94" s="77">
        <f t="shared" ref="O94:O103" si="6">N94-M94</f>
        <v>5.9606481481481489E-3</v>
      </c>
      <c r="P94" s="60">
        <v>43010</v>
      </c>
      <c r="Q94" s="79" t="str">
        <f t="shared" ca="1" si="0"/>
        <v>https://www.youtube.com/embed/fjD9BVlmPoA?start=904&amp;end=1419&amp;autoplay=1</v>
      </c>
      <c r="R94" s="104"/>
      <c r="S94" s="70"/>
      <c r="T94" s="70"/>
      <c r="U94" s="71"/>
      <c r="V94" s="73"/>
      <c r="W94" s="75"/>
      <c r="X94" s="64"/>
      <c r="Y94" s="51"/>
      <c r="Z94" s="51"/>
    </row>
    <row r="95" spans="1:37">
      <c r="A95" s="105">
        <v>94.02</v>
      </c>
      <c r="B95" s="51" t="s">
        <v>97</v>
      </c>
      <c r="C95" s="54"/>
      <c r="D95" s="51" t="s">
        <v>120</v>
      </c>
      <c r="E95" s="51"/>
      <c r="F95" s="51"/>
      <c r="G95" s="51" t="s">
        <v>670</v>
      </c>
      <c r="H95" s="57" t="s">
        <v>671</v>
      </c>
      <c r="I95" s="51"/>
      <c r="J95" s="51"/>
      <c r="K95" s="58"/>
      <c r="L95" s="59"/>
      <c r="M95" s="58">
        <v>1.9780092592592592E-2</v>
      </c>
      <c r="N95" s="58">
        <v>2.1412037037037038E-2</v>
      </c>
      <c r="O95" s="77">
        <f t="shared" si="6"/>
        <v>1.6319444444444463E-3</v>
      </c>
      <c r="P95" s="60">
        <v>43010</v>
      </c>
      <c r="Q95" s="79" t="str">
        <f t="shared" ca="1" si="0"/>
        <v>https://www.youtube.com/embed/fjD9BVlmPoA?start=1709&amp;end=1850&amp;autoplay=1</v>
      </c>
      <c r="R95" s="104"/>
      <c r="S95" s="70"/>
      <c r="T95" s="70"/>
      <c r="U95" s="71"/>
      <c r="V95" s="73"/>
      <c r="W95" s="75"/>
      <c r="X95" s="64"/>
      <c r="Y95" s="51"/>
      <c r="Z95" s="51"/>
    </row>
    <row r="96" spans="1:37">
      <c r="A96" s="105">
        <v>94.03</v>
      </c>
      <c r="B96" s="51" t="s">
        <v>97</v>
      </c>
      <c r="C96" s="51"/>
      <c r="D96" s="51" t="s">
        <v>120</v>
      </c>
      <c r="E96" s="51"/>
      <c r="F96" s="51"/>
      <c r="G96" s="51" t="s">
        <v>674</v>
      </c>
      <c r="H96" s="37"/>
      <c r="I96" s="51"/>
      <c r="J96" s="51"/>
      <c r="K96" s="58"/>
      <c r="L96" s="59"/>
      <c r="M96" s="58">
        <v>2.7141203703703702E-2</v>
      </c>
      <c r="N96" s="58">
        <v>2.824074074074074E-2</v>
      </c>
      <c r="O96" s="77">
        <f t="shared" si="6"/>
        <v>1.0995370370370378E-3</v>
      </c>
      <c r="P96" s="60">
        <v>43010</v>
      </c>
      <c r="Q96" s="79" t="str">
        <f t="shared" ca="1" si="0"/>
        <v>https://www.youtube.com/embed/fjD9BVlmPoA?start=2345&amp;end=2440&amp;autoplay=1</v>
      </c>
      <c r="R96" s="104"/>
      <c r="S96" s="70"/>
      <c r="T96" s="70"/>
      <c r="U96" s="71"/>
      <c r="V96" s="73"/>
      <c r="W96" s="75"/>
      <c r="X96" s="64"/>
      <c r="Y96" s="51"/>
      <c r="Z96" s="51"/>
    </row>
    <row r="97" spans="1:28">
      <c r="A97" s="105">
        <v>94.04</v>
      </c>
      <c r="B97" s="51" t="s">
        <v>97</v>
      </c>
      <c r="C97" s="51"/>
      <c r="D97" s="51" t="s">
        <v>120</v>
      </c>
      <c r="E97" s="51"/>
      <c r="F97" s="51"/>
      <c r="G97" s="51" t="s">
        <v>677</v>
      </c>
      <c r="H97" s="37"/>
      <c r="I97" s="51"/>
      <c r="J97" s="51"/>
      <c r="K97" s="58"/>
      <c r="L97" s="59"/>
      <c r="M97" s="58">
        <v>2.8356481481481483E-2</v>
      </c>
      <c r="N97" s="58">
        <v>3.321759259259259E-2</v>
      </c>
      <c r="O97" s="77">
        <f t="shared" si="6"/>
        <v>4.8611111111111077E-3</v>
      </c>
      <c r="P97" s="60">
        <v>43010</v>
      </c>
      <c r="Q97" s="79" t="str">
        <f t="shared" ca="1" si="0"/>
        <v>https://www.youtube.com/embed/fjD9BVlmPoA?start=2450&amp;end=2870&amp;autoplay=1</v>
      </c>
      <c r="R97" s="104"/>
      <c r="S97" s="70"/>
      <c r="T97" s="70"/>
      <c r="U97" s="71"/>
      <c r="V97" s="73"/>
      <c r="W97" s="75"/>
      <c r="X97" s="64"/>
      <c r="Y97" s="51"/>
      <c r="Z97" s="51"/>
    </row>
    <row r="98" spans="1:28">
      <c r="A98" s="105">
        <v>94.05</v>
      </c>
      <c r="B98" s="51" t="s">
        <v>97</v>
      </c>
      <c r="C98" s="51"/>
      <c r="D98" s="51" t="s">
        <v>120</v>
      </c>
      <c r="E98" s="51"/>
      <c r="F98" s="51"/>
      <c r="G98" s="51" t="s">
        <v>680</v>
      </c>
      <c r="H98" s="57"/>
      <c r="I98" s="51"/>
      <c r="J98" s="51"/>
      <c r="K98" s="58"/>
      <c r="L98" s="59"/>
      <c r="M98" s="58">
        <v>4.0902777777777781E-2</v>
      </c>
      <c r="N98" s="58">
        <v>4.6053240740740742E-2</v>
      </c>
      <c r="O98" s="77">
        <f t="shared" si="6"/>
        <v>5.1504629629629609E-3</v>
      </c>
      <c r="P98" s="60">
        <v>43010</v>
      </c>
      <c r="Q98" s="79" t="str">
        <f t="shared" ca="1" si="0"/>
        <v>https://www.youtube.com/embed/fjD9BVlmPoA?start=3534&amp;end=3979&amp;autoplay=1</v>
      </c>
      <c r="R98" s="104"/>
      <c r="S98" s="70"/>
      <c r="T98" s="70"/>
      <c r="U98" s="71"/>
      <c r="V98" s="73"/>
      <c r="W98" s="75"/>
      <c r="X98" s="64"/>
      <c r="Y98" s="51"/>
      <c r="Z98" s="51"/>
    </row>
    <row r="99" spans="1:28">
      <c r="A99" s="105">
        <v>94.06</v>
      </c>
      <c r="B99" s="51" t="s">
        <v>97</v>
      </c>
      <c r="C99" s="51"/>
      <c r="D99" s="51" t="s">
        <v>120</v>
      </c>
      <c r="E99" s="51"/>
      <c r="F99" s="51"/>
      <c r="G99" s="51" t="s">
        <v>683</v>
      </c>
      <c r="H99" s="76" t="s">
        <v>684</v>
      </c>
      <c r="I99" s="51"/>
      <c r="J99" s="51"/>
      <c r="K99" s="58"/>
      <c r="L99" s="59"/>
      <c r="M99" s="58">
        <v>4.7222222222222221E-2</v>
      </c>
      <c r="N99" s="58">
        <v>4.9421296296296297E-2</v>
      </c>
      <c r="O99" s="77">
        <f t="shared" si="6"/>
        <v>2.1990740740740755E-3</v>
      </c>
      <c r="P99" s="60">
        <v>43010</v>
      </c>
      <c r="Q99" s="79" t="str">
        <f t="shared" ca="1" si="0"/>
        <v>https://www.youtube.com/embed/fjD9BVlmPoA?start=4080&amp;end=4270&amp;autoplay=1</v>
      </c>
      <c r="R99" s="104"/>
      <c r="S99" s="70"/>
      <c r="T99" s="70"/>
      <c r="U99" s="71"/>
      <c r="V99" s="73"/>
      <c r="W99" s="75"/>
      <c r="X99" s="64"/>
      <c r="Y99" s="51"/>
      <c r="Z99" s="51"/>
    </row>
    <row r="100" spans="1:28">
      <c r="A100" s="105">
        <v>94.07</v>
      </c>
      <c r="B100" s="51" t="s">
        <v>97</v>
      </c>
      <c r="C100" s="51"/>
      <c r="D100" s="51" t="s">
        <v>120</v>
      </c>
      <c r="E100" s="51"/>
      <c r="F100" s="51"/>
      <c r="G100" s="54" t="s">
        <v>687</v>
      </c>
      <c r="H100" s="57"/>
      <c r="I100" s="51"/>
      <c r="J100" s="51"/>
      <c r="K100" s="58"/>
      <c r="L100" s="59"/>
      <c r="M100" s="58">
        <v>5.2199074074074071E-2</v>
      </c>
      <c r="N100" s="58">
        <v>5.3703703703703705E-2</v>
      </c>
      <c r="O100" s="77">
        <f t="shared" si="6"/>
        <v>1.5046296296296335E-3</v>
      </c>
      <c r="P100" s="60">
        <v>43010</v>
      </c>
      <c r="Q100" s="79" t="str">
        <f t="shared" ca="1" si="0"/>
        <v>https://www.youtube.com/embed/fjD9BVlmPoA?start=4510&amp;end=4640&amp;autoplay=1</v>
      </c>
      <c r="R100" s="104"/>
      <c r="S100" s="70"/>
      <c r="T100" s="70"/>
      <c r="U100" s="71"/>
      <c r="V100" s="73"/>
      <c r="W100" s="75"/>
      <c r="X100" s="64"/>
      <c r="Y100" s="51"/>
      <c r="Z100" s="51"/>
    </row>
    <row r="101" spans="1:28">
      <c r="A101" s="105">
        <v>94.08</v>
      </c>
      <c r="B101" s="51" t="s">
        <v>97</v>
      </c>
      <c r="C101" s="51"/>
      <c r="D101" s="51" t="s">
        <v>120</v>
      </c>
      <c r="E101" s="51"/>
      <c r="F101" s="51"/>
      <c r="G101" s="51" t="s">
        <v>691</v>
      </c>
      <c r="H101" s="57" t="s">
        <v>692</v>
      </c>
      <c r="I101" s="51"/>
      <c r="J101" s="51"/>
      <c r="K101" s="58"/>
      <c r="L101" s="59"/>
      <c r="M101" s="58">
        <v>5.3761574074074073E-2</v>
      </c>
      <c r="N101" s="58">
        <v>5.6493055555555553E-2</v>
      </c>
      <c r="O101" s="77">
        <f t="shared" si="6"/>
        <v>2.7314814814814806E-3</v>
      </c>
      <c r="P101" s="60">
        <v>43010</v>
      </c>
      <c r="Q101" s="79" t="str">
        <f t="shared" ca="1" si="0"/>
        <v>https://www.youtube.com/embed/fjD9BVlmPoA?start=4645&amp;end=4881&amp;autoplay=1</v>
      </c>
      <c r="R101" s="104"/>
      <c r="S101" s="70"/>
      <c r="T101" s="70"/>
      <c r="U101" s="71"/>
      <c r="V101" s="73"/>
      <c r="W101" s="75"/>
      <c r="X101" s="64"/>
      <c r="Y101" s="51"/>
      <c r="Z101" s="51"/>
    </row>
    <row r="102" spans="1:28">
      <c r="A102" s="105">
        <v>94.09</v>
      </c>
      <c r="B102" s="51" t="s">
        <v>97</v>
      </c>
      <c r="C102" s="51"/>
      <c r="D102" s="51" t="s">
        <v>120</v>
      </c>
      <c r="E102" s="51"/>
      <c r="F102" s="51"/>
      <c r="G102" s="51" t="s">
        <v>695</v>
      </c>
      <c r="H102" s="57"/>
      <c r="I102" s="51"/>
      <c r="J102" s="51"/>
      <c r="K102" s="58"/>
      <c r="L102" s="59"/>
      <c r="M102" s="58">
        <v>5.6539351851851855E-2</v>
      </c>
      <c r="N102" s="58">
        <v>5.7060185185185186E-2</v>
      </c>
      <c r="O102" s="77">
        <f t="shared" si="6"/>
        <v>5.2083333333333148E-4</v>
      </c>
      <c r="P102" s="60">
        <v>43010</v>
      </c>
      <c r="Q102" s="79" t="str">
        <f t="shared" ca="1" si="0"/>
        <v>https://www.youtube.com/embed/fjD9BVlmPoA?start=4885&amp;end=4930&amp;autoplay=1</v>
      </c>
      <c r="R102" s="104"/>
      <c r="S102" s="70"/>
      <c r="T102" s="70"/>
      <c r="U102" s="71"/>
      <c r="V102" s="73"/>
      <c r="W102" s="75"/>
      <c r="X102" s="64"/>
      <c r="Y102" s="51"/>
      <c r="Z102" s="51"/>
    </row>
    <row r="103" spans="1:28">
      <c r="A103" s="105">
        <v>94.1</v>
      </c>
      <c r="B103" s="51" t="s">
        <v>97</v>
      </c>
      <c r="C103" s="51"/>
      <c r="D103" s="51" t="s">
        <v>120</v>
      </c>
      <c r="E103" s="51"/>
      <c r="F103" s="51"/>
      <c r="G103" s="51" t="s">
        <v>700</v>
      </c>
      <c r="H103" s="57"/>
      <c r="I103" s="51"/>
      <c r="J103" s="51"/>
      <c r="K103" s="58"/>
      <c r="L103" s="59"/>
      <c r="M103" s="58">
        <v>5.7175925925925929E-2</v>
      </c>
      <c r="N103" s="58">
        <v>6.128472222222222E-2</v>
      </c>
      <c r="O103" s="77">
        <f t="shared" si="6"/>
        <v>4.108796296296291E-3</v>
      </c>
      <c r="P103" s="60">
        <v>43010</v>
      </c>
      <c r="Q103" s="79" t="str">
        <f t="shared" ca="1" si="0"/>
        <v>https://www.youtube.com/embed/fjD9BVlmPoA?start=4940&amp;end=5295&amp;autoplay=1</v>
      </c>
      <c r="R103" s="104"/>
      <c r="S103" s="70"/>
      <c r="T103" s="70"/>
      <c r="U103" s="71"/>
      <c r="V103" s="73"/>
      <c r="W103" s="75"/>
      <c r="X103" s="64"/>
      <c r="Y103" s="51"/>
      <c r="Z103" s="51"/>
    </row>
    <row r="104" spans="1:28">
      <c r="A104" s="51">
        <v>178</v>
      </c>
      <c r="B104" s="69" t="s">
        <v>97</v>
      </c>
      <c r="C104" s="61"/>
      <c r="D104" s="54" t="s">
        <v>120</v>
      </c>
      <c r="E104" s="51" t="s">
        <v>704</v>
      </c>
      <c r="F104" s="55" t="s">
        <v>705</v>
      </c>
      <c r="G104" s="56"/>
      <c r="H104" s="57"/>
      <c r="I104" s="51"/>
      <c r="J104" s="51">
        <f>2.5*1000</f>
        <v>2500</v>
      </c>
      <c r="K104" s="58">
        <v>4.7199074074074067E-2</v>
      </c>
      <c r="L104" s="59" t="s">
        <v>710</v>
      </c>
      <c r="M104" s="51"/>
      <c r="N104" s="51"/>
      <c r="O104" s="51"/>
      <c r="P104" s="51"/>
      <c r="Q104" s="37" t="str">
        <f t="shared" ca="1" si="0"/>
        <v/>
      </c>
      <c r="R104" s="52"/>
      <c r="S104" s="52"/>
      <c r="T104" s="52"/>
      <c r="U104" s="61"/>
      <c r="V104" s="62"/>
      <c r="W104" s="102" t="s">
        <v>292</v>
      </c>
      <c r="X104" s="64"/>
      <c r="Y104" s="18"/>
      <c r="Z104" s="18"/>
      <c r="AA104" s="18"/>
      <c r="AB104" s="18"/>
    </row>
    <row r="105" spans="1:28">
      <c r="A105" s="107">
        <v>178.01</v>
      </c>
      <c r="B105" s="69" t="s">
        <v>97</v>
      </c>
      <c r="C105" s="61"/>
      <c r="D105" s="54" t="s">
        <v>120</v>
      </c>
      <c r="E105" s="51"/>
      <c r="F105" s="55"/>
      <c r="G105" s="108" t="s">
        <v>713</v>
      </c>
      <c r="H105" s="76"/>
      <c r="I105" s="51"/>
      <c r="J105" s="51"/>
      <c r="K105" s="58"/>
      <c r="L105" s="59"/>
      <c r="M105" s="101"/>
      <c r="N105" s="101"/>
      <c r="O105" s="51"/>
      <c r="P105" s="100">
        <v>43017</v>
      </c>
      <c r="Q105" s="37"/>
      <c r="R105" s="69"/>
      <c r="S105" s="69"/>
      <c r="T105" s="69"/>
      <c r="U105" s="61"/>
      <c r="V105" s="62"/>
      <c r="W105" s="102"/>
      <c r="X105" s="64"/>
      <c r="Y105" s="54" t="s">
        <v>716</v>
      </c>
      <c r="Z105" s="54" t="s">
        <v>717</v>
      </c>
    </row>
    <row r="106" spans="1:28">
      <c r="A106" s="54">
        <v>178.02</v>
      </c>
      <c r="B106" s="69" t="s">
        <v>97</v>
      </c>
      <c r="C106" s="61"/>
      <c r="D106" s="54" t="s">
        <v>120</v>
      </c>
      <c r="E106" s="51"/>
      <c r="F106" s="55"/>
      <c r="G106" s="80" t="s">
        <v>720</v>
      </c>
      <c r="H106" s="76" t="s">
        <v>721</v>
      </c>
      <c r="I106" s="51"/>
      <c r="J106" s="51"/>
      <c r="K106" s="58"/>
      <c r="L106" s="59"/>
      <c r="M106" s="101">
        <v>7.1527777777777779E-3</v>
      </c>
      <c r="N106" s="101">
        <v>1.1956018518518519E-2</v>
      </c>
      <c r="O106" s="51"/>
      <c r="P106" s="100">
        <v>43017</v>
      </c>
      <c r="Q106" s="79" t="str">
        <f t="shared" ref="Q106:Q113" ca="1" si="7">HYPERLINK(IF(INT(A106)-A106=0,"",REPLACE(INDIRECT("MasterList!e"&amp;INT(A106)+1),25,8,"embed/")&amp;"?start="&amp;HOUR(M106)*3600+MINUTE(M106)*60+SECOND(M106)&amp;"&amp;end="&amp;HOUR(N106)*3600+MINUTE(N106)*60+SECOND(N106)&amp;"&amp;autoplay=1"))</f>
        <v>https://www.youtube.com/embed/cpZPvFvzNlc?start=618&amp;end=1033&amp;autoplay=1</v>
      </c>
      <c r="R106" s="74" t="s">
        <v>94</v>
      </c>
      <c r="S106" s="74" t="s">
        <v>94</v>
      </c>
      <c r="T106" s="74" t="s">
        <v>94</v>
      </c>
      <c r="U106" s="71"/>
      <c r="V106" s="73"/>
      <c r="W106" s="102" t="s">
        <v>292</v>
      </c>
      <c r="X106" s="64"/>
      <c r="Y106" s="51"/>
      <c r="Z106" s="51"/>
    </row>
    <row r="107" spans="1:28">
      <c r="A107" s="107">
        <v>178.03</v>
      </c>
      <c r="B107" s="69" t="s">
        <v>97</v>
      </c>
      <c r="C107" s="61"/>
      <c r="D107" s="54" t="s">
        <v>120</v>
      </c>
      <c r="E107" s="51"/>
      <c r="F107" s="55"/>
      <c r="G107" s="80" t="s">
        <v>727</v>
      </c>
      <c r="H107" s="76" t="s">
        <v>728</v>
      </c>
      <c r="I107" s="51"/>
      <c r="J107" s="51"/>
      <c r="K107" s="58"/>
      <c r="L107" s="59"/>
      <c r="M107" s="101">
        <v>1.2060185185185186E-2</v>
      </c>
      <c r="N107" s="101">
        <v>1.2615740740740742E-2</v>
      </c>
      <c r="O107" s="51"/>
      <c r="P107" s="100">
        <v>43017</v>
      </c>
      <c r="Q107" s="79" t="str">
        <f t="shared" ca="1" si="7"/>
        <v>https://www.youtube.com/embed/cpZPvFvzNlc?start=1042&amp;end=1090&amp;autoplay=1</v>
      </c>
      <c r="R107" s="74" t="s">
        <v>94</v>
      </c>
      <c r="S107" s="74" t="s">
        <v>94</v>
      </c>
      <c r="T107" s="74" t="s">
        <v>94</v>
      </c>
      <c r="U107" s="71"/>
      <c r="V107" s="73"/>
      <c r="W107" s="102" t="s">
        <v>292</v>
      </c>
      <c r="X107" s="64"/>
      <c r="Y107" s="51"/>
      <c r="Z107" s="51"/>
    </row>
    <row r="108" spans="1:28">
      <c r="A108" s="54">
        <v>178.04</v>
      </c>
      <c r="B108" s="69" t="s">
        <v>97</v>
      </c>
      <c r="C108" s="61"/>
      <c r="D108" s="54" t="s">
        <v>120</v>
      </c>
      <c r="E108" s="51"/>
      <c r="F108" s="55"/>
      <c r="G108" s="80" t="s">
        <v>733</v>
      </c>
      <c r="H108" s="76"/>
      <c r="I108" s="51"/>
      <c r="J108" s="51"/>
      <c r="K108" s="58"/>
      <c r="L108" s="59"/>
      <c r="M108" s="101">
        <v>1.6805555555555556E-2</v>
      </c>
      <c r="N108" s="101">
        <v>1.7893518518518517E-2</v>
      </c>
      <c r="O108" s="77"/>
      <c r="P108" s="100">
        <v>43017</v>
      </c>
      <c r="Q108" s="79" t="str">
        <f t="shared" ca="1" si="7"/>
        <v>https://www.youtube.com/embed/cpZPvFvzNlc?start=1452&amp;end=1546&amp;autoplay=1</v>
      </c>
      <c r="R108" s="74" t="s">
        <v>94</v>
      </c>
      <c r="S108" s="74" t="s">
        <v>94</v>
      </c>
      <c r="T108" s="74" t="s">
        <v>94</v>
      </c>
      <c r="U108" s="71"/>
      <c r="V108" s="73"/>
      <c r="W108" s="102" t="s">
        <v>292</v>
      </c>
      <c r="X108" s="64"/>
      <c r="Y108" s="51"/>
      <c r="Z108" s="51"/>
    </row>
    <row r="109" spans="1:28">
      <c r="A109" s="107">
        <v>178.05</v>
      </c>
      <c r="B109" s="69" t="s">
        <v>97</v>
      </c>
      <c r="C109" s="61"/>
      <c r="D109" s="54" t="s">
        <v>120</v>
      </c>
      <c r="E109" s="51"/>
      <c r="F109" s="55"/>
      <c r="G109" s="80" t="s">
        <v>735</v>
      </c>
      <c r="H109" s="57"/>
      <c r="I109" s="51"/>
      <c r="J109" s="51"/>
      <c r="K109" s="58"/>
      <c r="L109" s="59"/>
      <c r="M109" s="101">
        <v>1.9247685185185184E-2</v>
      </c>
      <c r="N109" s="101">
        <v>2.2638888888888889E-2</v>
      </c>
      <c r="O109" s="77"/>
      <c r="P109" s="100">
        <v>43017</v>
      </c>
      <c r="Q109" s="79" t="str">
        <f t="shared" ca="1" si="7"/>
        <v>https://www.youtube.com/embed/cpZPvFvzNlc?start=1663&amp;end=1956&amp;autoplay=1</v>
      </c>
      <c r="R109" s="74" t="s">
        <v>94</v>
      </c>
      <c r="S109" s="74" t="s">
        <v>94</v>
      </c>
      <c r="T109" s="74" t="s">
        <v>94</v>
      </c>
      <c r="U109" s="71"/>
      <c r="V109" s="73"/>
      <c r="W109" s="102" t="s">
        <v>292</v>
      </c>
      <c r="X109" s="64"/>
      <c r="Y109" s="51"/>
      <c r="Z109" s="51"/>
    </row>
    <row r="110" spans="1:28">
      <c r="A110" s="54">
        <v>178.06</v>
      </c>
      <c r="B110" s="69" t="s">
        <v>97</v>
      </c>
      <c r="C110" s="61"/>
      <c r="D110" s="54" t="s">
        <v>120</v>
      </c>
      <c r="E110" s="51"/>
      <c r="F110" s="55"/>
      <c r="G110" s="80" t="s">
        <v>738</v>
      </c>
      <c r="H110" s="57"/>
      <c r="I110" s="51"/>
      <c r="J110" s="51"/>
      <c r="K110" s="58"/>
      <c r="L110" s="59"/>
      <c r="M110" s="101">
        <v>2.2870370370370371E-2</v>
      </c>
      <c r="N110" s="101">
        <v>2.3854166666666666E-2</v>
      </c>
      <c r="O110" s="77"/>
      <c r="P110" s="100">
        <v>43017</v>
      </c>
      <c r="Q110" s="79" t="str">
        <f t="shared" ca="1" si="7"/>
        <v>https://www.youtube.com/embed/cpZPvFvzNlc?start=1976&amp;end=2061&amp;autoplay=1</v>
      </c>
      <c r="R110" s="74" t="s">
        <v>94</v>
      </c>
      <c r="S110" s="74" t="s">
        <v>94</v>
      </c>
      <c r="T110" s="74" t="s">
        <v>94</v>
      </c>
      <c r="U110" s="71"/>
      <c r="V110" s="73"/>
      <c r="W110" s="102" t="s">
        <v>292</v>
      </c>
      <c r="X110" s="64"/>
      <c r="Y110" s="51"/>
      <c r="Z110" s="51"/>
    </row>
    <row r="111" spans="1:28">
      <c r="A111" s="107">
        <v>178.07</v>
      </c>
      <c r="B111" s="69" t="s">
        <v>97</v>
      </c>
      <c r="C111" s="61"/>
      <c r="D111" s="54" t="s">
        <v>120</v>
      </c>
      <c r="E111" s="51"/>
      <c r="F111" s="55"/>
      <c r="G111" s="80" t="s">
        <v>741</v>
      </c>
      <c r="H111" s="57"/>
      <c r="I111" s="51"/>
      <c r="J111" s="51"/>
      <c r="K111" s="58"/>
      <c r="L111" s="59"/>
      <c r="M111" s="101">
        <v>2.4074074074074074E-2</v>
      </c>
      <c r="N111" s="101">
        <v>2.5717592592592594E-2</v>
      </c>
      <c r="O111" s="77"/>
      <c r="P111" s="100">
        <v>43017</v>
      </c>
      <c r="Q111" s="79" t="str">
        <f t="shared" ca="1" si="7"/>
        <v>https://www.youtube.com/embed/cpZPvFvzNlc?start=2080&amp;end=2222&amp;autoplay=1</v>
      </c>
      <c r="R111" s="74" t="s">
        <v>94</v>
      </c>
      <c r="S111" s="74" t="s">
        <v>94</v>
      </c>
      <c r="T111" s="74" t="s">
        <v>94</v>
      </c>
      <c r="U111" s="71"/>
      <c r="V111" s="73"/>
      <c r="W111" s="102" t="s">
        <v>292</v>
      </c>
      <c r="X111" s="64"/>
      <c r="Y111" s="51"/>
      <c r="Z111" s="51"/>
    </row>
    <row r="112" spans="1:28">
      <c r="A112" s="54">
        <v>178.08</v>
      </c>
      <c r="B112" s="69" t="s">
        <v>97</v>
      </c>
      <c r="C112" s="61"/>
      <c r="D112" s="54" t="s">
        <v>120</v>
      </c>
      <c r="E112" s="51"/>
      <c r="F112" s="51"/>
      <c r="G112" s="54" t="s">
        <v>742</v>
      </c>
      <c r="H112" s="57"/>
      <c r="I112" s="51"/>
      <c r="J112" s="51"/>
      <c r="K112" s="58"/>
      <c r="L112" s="59"/>
      <c r="M112" s="101">
        <v>4.1689814814814811E-2</v>
      </c>
      <c r="N112" s="101">
        <v>4.2824074074074077E-2</v>
      </c>
      <c r="O112" s="77"/>
      <c r="P112" s="100">
        <v>43017</v>
      </c>
      <c r="Q112" s="79" t="str">
        <f t="shared" ca="1" si="7"/>
        <v>https://www.youtube.com/embed/cpZPvFvzNlc?start=3602&amp;end=3700&amp;autoplay=1</v>
      </c>
      <c r="R112" s="74" t="s">
        <v>94</v>
      </c>
      <c r="S112" s="74" t="s">
        <v>94</v>
      </c>
      <c r="T112" s="74" t="s">
        <v>94</v>
      </c>
      <c r="U112" s="71"/>
      <c r="V112" s="73"/>
      <c r="W112" s="102" t="s">
        <v>292</v>
      </c>
      <c r="X112" s="64"/>
      <c r="Y112" s="51"/>
      <c r="Z112" s="51"/>
    </row>
    <row r="113" spans="1:26">
      <c r="A113" s="107">
        <v>178.09</v>
      </c>
      <c r="B113" s="69" t="s">
        <v>97</v>
      </c>
      <c r="C113" s="61"/>
      <c r="D113" s="54" t="s">
        <v>120</v>
      </c>
      <c r="E113" s="51"/>
      <c r="F113" s="55"/>
      <c r="G113" s="80" t="s">
        <v>743</v>
      </c>
      <c r="H113" s="57"/>
      <c r="I113" s="51"/>
      <c r="J113" s="51"/>
      <c r="K113" s="58"/>
      <c r="L113" s="59"/>
      <c r="M113" s="101">
        <v>4.2847222222222224E-2</v>
      </c>
      <c r="N113" s="101">
        <v>4.4861111111111109E-2</v>
      </c>
      <c r="O113" s="51"/>
      <c r="P113" s="100">
        <v>43017</v>
      </c>
      <c r="Q113" s="79" t="str">
        <f t="shared" ca="1" si="7"/>
        <v>https://www.youtube.com/embed/cpZPvFvzNlc?start=3702&amp;end=3876&amp;autoplay=1</v>
      </c>
      <c r="R113" s="74" t="s">
        <v>94</v>
      </c>
      <c r="S113" s="74" t="s">
        <v>94</v>
      </c>
      <c r="T113" s="74" t="s">
        <v>94</v>
      </c>
      <c r="U113" s="71"/>
      <c r="V113" s="73"/>
      <c r="W113" s="102" t="s">
        <v>292</v>
      </c>
      <c r="X113" s="64"/>
      <c r="Y113" s="51"/>
      <c r="Z113" s="51"/>
    </row>
    <row r="114" spans="1:26">
      <c r="A114" s="54"/>
      <c r="B114" s="51"/>
      <c r="C114" s="51"/>
      <c r="D114" s="51"/>
      <c r="E114" s="51"/>
      <c r="F114" s="55"/>
      <c r="G114" s="56"/>
      <c r="H114" s="57"/>
      <c r="I114" s="51"/>
      <c r="J114" s="51"/>
      <c r="K114" s="58"/>
      <c r="L114" s="59"/>
      <c r="M114" s="58"/>
      <c r="N114" s="58"/>
      <c r="O114" s="77"/>
      <c r="P114" s="60"/>
      <c r="Q114" s="37"/>
      <c r="R114" s="70"/>
      <c r="S114" s="70"/>
      <c r="T114" s="70"/>
      <c r="U114" s="71"/>
      <c r="V114" s="73"/>
      <c r="W114" s="75"/>
      <c r="X114" s="64"/>
      <c r="Y114" s="51"/>
      <c r="Z114" s="51"/>
    </row>
    <row r="115" spans="1:26">
      <c r="A115" s="107"/>
      <c r="B115" s="51"/>
      <c r="C115" s="51"/>
      <c r="D115" s="51"/>
      <c r="E115" s="51"/>
      <c r="F115" s="55"/>
      <c r="G115" s="56"/>
      <c r="H115" s="57"/>
      <c r="I115" s="51"/>
      <c r="J115" s="51"/>
      <c r="K115" s="58"/>
      <c r="L115" s="59"/>
      <c r="M115" s="58"/>
      <c r="N115" s="58"/>
      <c r="O115" s="51"/>
      <c r="P115" s="51"/>
      <c r="Q115" s="37"/>
      <c r="R115" s="70"/>
      <c r="S115" s="70"/>
      <c r="T115" s="70"/>
      <c r="U115" s="71"/>
      <c r="V115" s="73"/>
      <c r="W115" s="75"/>
      <c r="X115" s="64"/>
      <c r="Y115" s="51"/>
      <c r="Z115" s="51"/>
    </row>
    <row r="116" spans="1:26">
      <c r="A116" s="54"/>
      <c r="B116" s="51"/>
      <c r="C116" s="51"/>
      <c r="D116" s="51"/>
      <c r="E116" s="51"/>
      <c r="F116" s="55"/>
      <c r="G116" s="56"/>
      <c r="H116" s="57"/>
      <c r="I116" s="51"/>
      <c r="J116" s="51"/>
      <c r="K116" s="58"/>
      <c r="L116" s="59"/>
      <c r="M116" s="58"/>
      <c r="N116" s="58"/>
      <c r="O116" s="51"/>
      <c r="P116" s="51"/>
      <c r="Q116" s="37"/>
      <c r="R116" s="70"/>
      <c r="S116" s="70"/>
      <c r="T116" s="70"/>
      <c r="U116" s="71"/>
      <c r="V116" s="73"/>
      <c r="W116" s="75"/>
      <c r="X116" s="64"/>
      <c r="Y116" s="51"/>
      <c r="Z116" s="51"/>
    </row>
    <row r="117" spans="1:26">
      <c r="A117" s="107"/>
      <c r="B117" s="51"/>
      <c r="C117" s="51"/>
      <c r="D117" s="51"/>
      <c r="E117" s="51"/>
      <c r="F117" s="55"/>
      <c r="G117" s="56"/>
      <c r="H117" s="57"/>
      <c r="I117" s="51"/>
      <c r="J117" s="51"/>
      <c r="K117" s="58"/>
      <c r="L117" s="59"/>
      <c r="M117" s="58"/>
      <c r="N117" s="58"/>
      <c r="O117" s="51"/>
      <c r="P117" s="51"/>
      <c r="Q117" s="37"/>
      <c r="R117" s="70"/>
      <c r="S117" s="70"/>
      <c r="T117" s="70"/>
      <c r="U117" s="71"/>
      <c r="V117" s="73"/>
      <c r="W117" s="75"/>
      <c r="X117" s="64"/>
      <c r="Y117" s="51"/>
      <c r="Z117" s="51"/>
    </row>
    <row r="118" spans="1:26">
      <c r="A118" s="54"/>
      <c r="B118" s="51"/>
      <c r="C118" s="51"/>
      <c r="D118" s="51"/>
      <c r="E118" s="51"/>
      <c r="F118" s="55"/>
      <c r="G118" s="56"/>
      <c r="H118" s="57"/>
      <c r="I118" s="51"/>
      <c r="J118" s="51"/>
      <c r="K118" s="58"/>
      <c r="L118" s="59"/>
      <c r="M118" s="58"/>
      <c r="N118" s="58"/>
      <c r="O118" s="51"/>
      <c r="P118" s="51"/>
      <c r="Q118" s="37"/>
      <c r="R118" s="70"/>
      <c r="S118" s="70"/>
      <c r="T118" s="70"/>
      <c r="U118" s="71"/>
      <c r="V118" s="73"/>
      <c r="W118" s="75"/>
      <c r="X118" s="64"/>
      <c r="Y118" s="51"/>
      <c r="Z118" s="51"/>
    </row>
    <row r="119" spans="1:26">
      <c r="A119" s="107"/>
      <c r="B119" s="51"/>
      <c r="C119" s="51"/>
      <c r="D119" s="51"/>
      <c r="E119" s="51"/>
      <c r="F119" s="55"/>
      <c r="G119" s="56"/>
      <c r="H119" s="57"/>
      <c r="I119" s="51"/>
      <c r="J119" s="51"/>
      <c r="K119" s="58"/>
      <c r="L119" s="59"/>
      <c r="M119" s="58"/>
      <c r="N119" s="58"/>
      <c r="O119" s="51"/>
      <c r="P119" s="51"/>
      <c r="Q119" s="37"/>
      <c r="R119" s="70"/>
      <c r="S119" s="70"/>
      <c r="T119" s="70"/>
      <c r="U119" s="71"/>
      <c r="V119" s="73"/>
      <c r="W119" s="75"/>
      <c r="X119" s="64"/>
      <c r="Y119" s="51"/>
      <c r="Z119" s="51"/>
    </row>
    <row r="120" spans="1:26">
      <c r="A120" s="54"/>
      <c r="B120" s="51"/>
      <c r="C120" s="51"/>
      <c r="D120" s="51"/>
      <c r="E120" s="51"/>
      <c r="F120" s="55"/>
      <c r="G120" s="56"/>
      <c r="H120" s="57"/>
      <c r="I120" s="51"/>
      <c r="J120" s="51"/>
      <c r="K120" s="58"/>
      <c r="L120" s="59"/>
      <c r="M120" s="58"/>
      <c r="N120" s="58"/>
      <c r="O120" s="51"/>
      <c r="P120" s="51"/>
      <c r="Q120" s="37"/>
      <c r="R120" s="70"/>
      <c r="S120" s="70"/>
      <c r="T120" s="70"/>
      <c r="U120" s="71"/>
      <c r="V120" s="73"/>
      <c r="W120" s="75"/>
      <c r="X120" s="64"/>
      <c r="Y120" s="51"/>
      <c r="Z120" s="51"/>
    </row>
    <row r="121" spans="1:26">
      <c r="A121" s="107"/>
      <c r="B121" s="51"/>
      <c r="C121" s="51"/>
      <c r="D121" s="51"/>
      <c r="E121" s="51"/>
      <c r="F121" s="55"/>
      <c r="G121" s="56"/>
      <c r="H121" s="57"/>
      <c r="I121" s="51"/>
      <c r="J121" s="51"/>
      <c r="K121" s="58"/>
      <c r="L121" s="59"/>
      <c r="M121" s="58"/>
      <c r="N121" s="58"/>
      <c r="O121" s="51"/>
      <c r="P121" s="51"/>
      <c r="Q121" s="37"/>
      <c r="R121" s="70"/>
      <c r="S121" s="70"/>
      <c r="T121" s="70"/>
      <c r="U121" s="71"/>
      <c r="V121" s="73"/>
      <c r="W121" s="75"/>
      <c r="X121" s="64"/>
      <c r="Y121" s="51"/>
      <c r="Z121" s="51"/>
    </row>
    <row r="122" spans="1:26">
      <c r="A122" s="54"/>
      <c r="B122" s="51"/>
      <c r="C122" s="51"/>
      <c r="D122" s="51"/>
      <c r="E122" s="51"/>
      <c r="F122" s="55"/>
      <c r="G122" s="56"/>
      <c r="H122" s="57"/>
      <c r="I122" s="51"/>
      <c r="J122" s="51"/>
      <c r="K122" s="58"/>
      <c r="L122" s="59"/>
      <c r="M122" s="58"/>
      <c r="N122" s="58"/>
      <c r="O122" s="51"/>
      <c r="P122" s="51"/>
      <c r="Q122" s="37"/>
      <c r="R122" s="70"/>
      <c r="S122" s="70"/>
      <c r="T122" s="70"/>
      <c r="U122" s="71"/>
      <c r="V122" s="73"/>
      <c r="W122" s="75"/>
      <c r="X122" s="64"/>
      <c r="Y122" s="51"/>
      <c r="Z122" s="51"/>
    </row>
    <row r="123" spans="1:26">
      <c r="A123" s="107"/>
      <c r="B123" s="51"/>
      <c r="C123" s="51"/>
      <c r="D123" s="51"/>
      <c r="E123" s="51"/>
      <c r="F123" s="55"/>
      <c r="G123" s="56"/>
      <c r="H123" s="57"/>
      <c r="I123" s="51"/>
      <c r="J123" s="51"/>
      <c r="K123" s="58"/>
      <c r="L123" s="59"/>
      <c r="M123" s="58"/>
      <c r="N123" s="58"/>
      <c r="O123" s="51"/>
      <c r="P123" s="51"/>
      <c r="Q123" s="37"/>
      <c r="R123" s="70"/>
      <c r="S123" s="70"/>
      <c r="T123" s="70"/>
      <c r="U123" s="71"/>
      <c r="V123" s="73"/>
      <c r="W123" s="75"/>
      <c r="X123" s="64"/>
      <c r="Y123" s="51"/>
      <c r="Z123" s="51"/>
    </row>
    <row r="124" spans="1:26">
      <c r="A124" s="51"/>
      <c r="B124" s="51"/>
      <c r="C124" s="51"/>
      <c r="D124" s="51"/>
      <c r="E124" s="51"/>
      <c r="F124" s="55"/>
      <c r="G124" s="56"/>
      <c r="H124" s="57"/>
      <c r="I124" s="51"/>
      <c r="J124" s="51"/>
      <c r="K124" s="58"/>
      <c r="L124" s="59"/>
      <c r="M124" s="58"/>
      <c r="N124" s="58"/>
      <c r="O124" s="51"/>
      <c r="P124" s="51"/>
      <c r="Q124" s="37"/>
      <c r="R124" s="70"/>
      <c r="S124" s="70"/>
      <c r="T124" s="70"/>
      <c r="U124" s="71"/>
      <c r="V124" s="73"/>
      <c r="W124" s="75"/>
      <c r="X124" s="64"/>
      <c r="Y124" s="51"/>
      <c r="Z124" s="51"/>
    </row>
    <row r="125" spans="1:26">
      <c r="A125" s="51"/>
      <c r="B125" s="51"/>
      <c r="C125" s="51"/>
      <c r="D125" s="51"/>
      <c r="E125" s="51"/>
      <c r="F125" s="55"/>
      <c r="G125" s="56"/>
      <c r="H125" s="57"/>
      <c r="I125" s="51"/>
      <c r="J125" s="51"/>
      <c r="K125" s="58"/>
      <c r="L125" s="59"/>
      <c r="M125" s="58"/>
      <c r="N125" s="58"/>
      <c r="O125" s="51"/>
      <c r="P125" s="51"/>
      <c r="Q125" s="37"/>
      <c r="R125" s="70"/>
      <c r="S125" s="70"/>
      <c r="T125" s="70"/>
      <c r="U125" s="71"/>
      <c r="V125" s="73"/>
      <c r="W125" s="75"/>
      <c r="X125" s="64"/>
      <c r="Y125" s="51"/>
      <c r="Z125" s="51"/>
    </row>
    <row r="126" spans="1:26">
      <c r="A126" s="51"/>
      <c r="B126" s="51"/>
      <c r="C126" s="51"/>
      <c r="D126" s="51"/>
      <c r="E126" s="51"/>
      <c r="F126" s="55"/>
      <c r="G126" s="56"/>
      <c r="H126" s="57"/>
      <c r="I126" s="51"/>
      <c r="J126" s="51"/>
      <c r="K126" s="58"/>
      <c r="L126" s="59"/>
      <c r="M126" s="58"/>
      <c r="N126" s="58"/>
      <c r="O126" s="51"/>
      <c r="P126" s="51"/>
      <c r="Q126" s="37"/>
      <c r="R126" s="70"/>
      <c r="S126" s="70"/>
      <c r="T126" s="70"/>
      <c r="U126" s="71"/>
      <c r="V126" s="73"/>
      <c r="W126" s="75"/>
      <c r="X126" s="64"/>
      <c r="Y126" s="51"/>
      <c r="Z126" s="51"/>
    </row>
    <row r="127" spans="1:26">
      <c r="A127" s="105"/>
      <c r="B127" s="51"/>
      <c r="C127" s="51"/>
      <c r="D127" s="51"/>
      <c r="E127" s="51"/>
      <c r="F127" s="55"/>
      <c r="G127" s="80"/>
      <c r="H127" s="57"/>
      <c r="I127" s="51"/>
      <c r="J127" s="51"/>
      <c r="K127" s="58"/>
      <c r="L127" s="59"/>
      <c r="M127" s="58"/>
      <c r="N127" s="58"/>
      <c r="O127" s="77"/>
      <c r="P127" s="60"/>
      <c r="Q127" s="37"/>
      <c r="R127" s="70"/>
      <c r="S127" s="70"/>
      <c r="T127" s="70"/>
      <c r="U127" s="71"/>
      <c r="V127" s="73"/>
      <c r="W127" s="75"/>
      <c r="X127" s="64"/>
      <c r="Y127" s="51"/>
      <c r="Z127" s="51"/>
    </row>
    <row r="128" spans="1:26">
      <c r="A128" s="105"/>
      <c r="B128" s="51"/>
      <c r="C128" s="51"/>
      <c r="D128" s="51"/>
      <c r="E128" s="51"/>
      <c r="F128" s="55"/>
      <c r="G128" s="56"/>
      <c r="H128" s="57"/>
      <c r="I128" s="51"/>
      <c r="J128" s="51"/>
      <c r="K128" s="58"/>
      <c r="L128" s="59"/>
      <c r="M128" s="58"/>
      <c r="N128" s="58"/>
      <c r="O128" s="77"/>
      <c r="P128" s="60"/>
      <c r="Q128" s="37"/>
      <c r="R128" s="70"/>
      <c r="S128" s="70"/>
      <c r="T128" s="70"/>
      <c r="U128" s="71"/>
      <c r="V128" s="73"/>
      <c r="W128" s="75"/>
      <c r="X128" s="64"/>
      <c r="Y128" s="51"/>
      <c r="Z128" s="51"/>
    </row>
    <row r="129" spans="1:26">
      <c r="A129" s="105"/>
      <c r="B129" s="51"/>
      <c r="C129" s="51"/>
      <c r="D129" s="51"/>
      <c r="E129" s="51"/>
      <c r="F129" s="55"/>
      <c r="G129" s="56"/>
      <c r="H129" s="57"/>
      <c r="I129" s="51"/>
      <c r="J129" s="51"/>
      <c r="K129" s="58"/>
      <c r="L129" s="59"/>
      <c r="M129" s="58"/>
      <c r="N129" s="58"/>
      <c r="O129" s="77"/>
      <c r="P129" s="60"/>
      <c r="Q129" s="37"/>
      <c r="R129" s="70"/>
      <c r="S129" s="70"/>
      <c r="T129" s="70"/>
      <c r="U129" s="71"/>
      <c r="V129" s="73"/>
      <c r="W129" s="75"/>
      <c r="X129" s="64"/>
      <c r="Y129" s="51"/>
      <c r="Z129" s="51"/>
    </row>
    <row r="130" spans="1:26">
      <c r="A130" s="105"/>
      <c r="B130" s="51"/>
      <c r="C130" s="51"/>
      <c r="D130" s="51"/>
      <c r="E130" s="51"/>
      <c r="F130" s="55"/>
      <c r="G130" s="56"/>
      <c r="H130" s="57"/>
      <c r="I130" s="51"/>
      <c r="J130" s="51"/>
      <c r="K130" s="58"/>
      <c r="L130" s="59"/>
      <c r="M130" s="58"/>
      <c r="N130" s="58"/>
      <c r="O130" s="77"/>
      <c r="P130" s="60"/>
      <c r="Q130" s="37"/>
      <c r="R130" s="70"/>
      <c r="S130" s="70"/>
      <c r="T130" s="70"/>
      <c r="U130" s="71"/>
      <c r="V130" s="73"/>
      <c r="W130" s="75"/>
      <c r="X130" s="64"/>
      <c r="Y130" s="51"/>
      <c r="Z130" s="51"/>
    </row>
    <row r="131" spans="1:26">
      <c r="A131" s="105"/>
      <c r="B131" s="51"/>
      <c r="C131" s="51"/>
      <c r="D131" s="51"/>
      <c r="E131" s="51"/>
      <c r="F131" s="55"/>
      <c r="G131" s="56"/>
      <c r="H131" s="57"/>
      <c r="I131" s="51"/>
      <c r="J131" s="51"/>
      <c r="K131" s="58"/>
      <c r="L131" s="59"/>
      <c r="M131" s="58"/>
      <c r="N131" s="58"/>
      <c r="O131" s="77"/>
      <c r="P131" s="60"/>
      <c r="Q131" s="37"/>
      <c r="R131" s="70"/>
      <c r="S131" s="70"/>
      <c r="T131" s="70"/>
      <c r="U131" s="71"/>
      <c r="V131" s="73"/>
      <c r="W131" s="75"/>
      <c r="X131" s="64"/>
      <c r="Y131" s="51"/>
      <c r="Z131" s="51"/>
    </row>
    <row r="132" spans="1:26">
      <c r="A132" s="105"/>
      <c r="B132" s="51"/>
      <c r="C132" s="51"/>
      <c r="D132" s="51"/>
      <c r="E132" s="51"/>
      <c r="F132" s="55"/>
      <c r="G132" s="56"/>
      <c r="H132" s="57"/>
      <c r="I132" s="51"/>
      <c r="J132" s="51"/>
      <c r="K132" s="58"/>
      <c r="L132" s="59"/>
      <c r="M132" s="58"/>
      <c r="N132" s="58"/>
      <c r="O132" s="77"/>
      <c r="P132" s="60"/>
      <c r="Q132" s="37"/>
      <c r="R132" s="70"/>
      <c r="S132" s="70"/>
      <c r="T132" s="70"/>
      <c r="U132" s="71"/>
      <c r="V132" s="73"/>
      <c r="W132" s="75"/>
      <c r="X132" s="64"/>
      <c r="Y132" s="51"/>
      <c r="Z132" s="51"/>
    </row>
    <row r="133" spans="1:26">
      <c r="A133" s="105"/>
      <c r="B133" s="51"/>
      <c r="C133" s="51"/>
      <c r="D133" s="51"/>
      <c r="E133" s="51"/>
      <c r="F133" s="55"/>
      <c r="G133" s="56"/>
      <c r="H133" s="57"/>
      <c r="I133" s="51"/>
      <c r="J133" s="51"/>
      <c r="K133" s="58"/>
      <c r="L133" s="59"/>
      <c r="M133" s="58"/>
      <c r="N133" s="58"/>
      <c r="O133" s="77"/>
      <c r="P133" s="60"/>
      <c r="Q133" s="37"/>
      <c r="R133" s="70"/>
      <c r="S133" s="70"/>
      <c r="T133" s="70"/>
      <c r="U133" s="71"/>
      <c r="V133" s="73"/>
      <c r="W133" s="75"/>
      <c r="X133" s="64"/>
      <c r="Y133" s="51"/>
      <c r="Z133" s="51"/>
    </row>
    <row r="134" spans="1:26">
      <c r="A134" s="105"/>
      <c r="B134" s="51"/>
      <c r="C134" s="51"/>
      <c r="D134" s="51"/>
      <c r="E134" s="51"/>
      <c r="F134" s="55"/>
      <c r="G134" s="56"/>
      <c r="H134" s="57"/>
      <c r="I134" s="51"/>
      <c r="J134" s="51"/>
      <c r="K134" s="58"/>
      <c r="L134" s="59"/>
      <c r="M134" s="58"/>
      <c r="N134" s="58"/>
      <c r="O134" s="77"/>
      <c r="P134" s="60"/>
      <c r="Q134" s="37"/>
      <c r="R134" s="70"/>
      <c r="S134" s="70"/>
      <c r="T134" s="70"/>
      <c r="U134" s="71"/>
      <c r="V134" s="73"/>
      <c r="W134" s="75"/>
      <c r="X134" s="64"/>
      <c r="Y134" s="51"/>
      <c r="Z134" s="51"/>
    </row>
    <row r="135" spans="1:26">
      <c r="A135" s="105"/>
      <c r="B135" s="51"/>
      <c r="C135" s="51"/>
      <c r="D135" s="51"/>
      <c r="E135" s="51"/>
      <c r="F135" s="55"/>
      <c r="G135" s="56"/>
      <c r="H135" s="57"/>
      <c r="I135" s="51"/>
      <c r="J135" s="51"/>
      <c r="K135" s="58"/>
      <c r="L135" s="59"/>
      <c r="M135" s="58"/>
      <c r="N135" s="58"/>
      <c r="O135" s="77"/>
      <c r="P135" s="60"/>
      <c r="Q135" s="37"/>
      <c r="R135" s="70"/>
      <c r="S135" s="70"/>
      <c r="T135" s="70"/>
      <c r="U135" s="71"/>
      <c r="V135" s="73"/>
      <c r="W135" s="75"/>
      <c r="X135" s="64"/>
      <c r="Y135" s="51"/>
      <c r="Z135" s="51"/>
    </row>
    <row r="136" spans="1:26">
      <c r="A136" s="105"/>
      <c r="B136" s="51"/>
      <c r="C136" s="51"/>
      <c r="D136" s="51"/>
      <c r="E136" s="51"/>
      <c r="F136" s="55"/>
      <c r="G136" s="56"/>
      <c r="H136" s="57"/>
      <c r="I136" s="51"/>
      <c r="J136" s="51"/>
      <c r="K136" s="58"/>
      <c r="L136" s="59"/>
      <c r="M136" s="58"/>
      <c r="N136" s="58"/>
      <c r="O136" s="77"/>
      <c r="P136" s="60"/>
      <c r="Q136" s="37"/>
      <c r="R136" s="70"/>
      <c r="S136" s="70"/>
      <c r="T136" s="70"/>
      <c r="U136" s="71"/>
      <c r="V136" s="73"/>
      <c r="W136" s="75"/>
      <c r="X136" s="64"/>
      <c r="Y136" s="51"/>
      <c r="Z136" s="51"/>
    </row>
    <row r="137" spans="1:26">
      <c r="A137" s="105"/>
      <c r="B137" s="51"/>
      <c r="C137" s="51"/>
      <c r="D137" s="51"/>
      <c r="E137" s="51"/>
      <c r="F137" s="51"/>
      <c r="G137" s="51"/>
      <c r="H137" s="37"/>
      <c r="I137" s="51"/>
      <c r="J137" s="51"/>
      <c r="K137" s="58"/>
      <c r="L137" s="59"/>
      <c r="M137" s="58"/>
      <c r="N137" s="58"/>
      <c r="O137" s="77"/>
      <c r="P137" s="60"/>
      <c r="Q137" s="37"/>
      <c r="R137" s="70"/>
      <c r="S137" s="70"/>
      <c r="T137" s="70"/>
      <c r="U137" s="71"/>
      <c r="V137" s="73"/>
      <c r="W137" s="75"/>
      <c r="X137" s="64"/>
      <c r="Y137" s="51"/>
      <c r="Z137" s="51"/>
    </row>
    <row r="138" spans="1:26">
      <c r="A138" s="51"/>
      <c r="B138" s="51"/>
      <c r="C138" s="51"/>
      <c r="D138" s="51"/>
      <c r="E138" s="51"/>
      <c r="F138" s="55"/>
      <c r="G138" s="56"/>
      <c r="H138" s="57"/>
      <c r="I138" s="51"/>
      <c r="J138" s="51"/>
      <c r="K138" s="58"/>
      <c r="L138" s="59"/>
      <c r="M138" s="58"/>
      <c r="N138" s="58"/>
      <c r="O138" s="51"/>
      <c r="P138" s="51"/>
      <c r="Q138" s="37"/>
      <c r="R138" s="70"/>
      <c r="S138" s="70"/>
      <c r="T138" s="70"/>
      <c r="U138" s="71"/>
      <c r="V138" s="73"/>
      <c r="W138" s="75"/>
      <c r="X138" s="64"/>
      <c r="Y138" s="51"/>
      <c r="Z138" s="51"/>
    </row>
    <row r="139" spans="1:26">
      <c r="A139" s="51"/>
      <c r="B139" s="51"/>
      <c r="C139" s="51"/>
      <c r="D139" s="51"/>
      <c r="E139" s="51"/>
      <c r="F139" s="55"/>
      <c r="G139" s="56"/>
      <c r="H139" s="57"/>
      <c r="I139" s="51"/>
      <c r="J139" s="51"/>
      <c r="K139" s="58"/>
      <c r="L139" s="59"/>
      <c r="M139" s="58"/>
      <c r="N139" s="58"/>
      <c r="O139" s="51"/>
      <c r="P139" s="51"/>
      <c r="Q139" s="37"/>
      <c r="R139" s="70"/>
      <c r="S139" s="70"/>
      <c r="T139" s="70"/>
      <c r="U139" s="71"/>
      <c r="V139" s="73"/>
      <c r="W139" s="75"/>
      <c r="X139" s="64"/>
      <c r="Y139" s="51"/>
      <c r="Z139" s="51"/>
    </row>
    <row r="140" spans="1:26">
      <c r="A140" s="51"/>
      <c r="B140" s="51"/>
      <c r="C140" s="51"/>
      <c r="D140" s="51"/>
      <c r="E140" s="51"/>
      <c r="F140" s="55"/>
      <c r="G140" s="56"/>
      <c r="H140" s="57"/>
      <c r="I140" s="51"/>
      <c r="J140" s="51"/>
      <c r="K140" s="58"/>
      <c r="L140" s="59"/>
      <c r="M140" s="58"/>
      <c r="N140" s="58"/>
      <c r="O140" s="51"/>
      <c r="P140" s="51"/>
      <c r="Q140" s="37"/>
      <c r="R140" s="70"/>
      <c r="S140" s="70"/>
      <c r="T140" s="70"/>
      <c r="U140" s="71"/>
      <c r="V140" s="73"/>
      <c r="W140" s="75"/>
      <c r="X140" s="64"/>
      <c r="Y140" s="51"/>
      <c r="Z140" s="51"/>
    </row>
    <row r="141" spans="1:26">
      <c r="A141" s="51"/>
      <c r="B141" s="51"/>
      <c r="C141" s="51"/>
      <c r="D141" s="51"/>
      <c r="E141" s="51"/>
      <c r="F141" s="55"/>
      <c r="G141" s="56"/>
      <c r="H141" s="57"/>
      <c r="I141" s="51"/>
      <c r="J141" s="51"/>
      <c r="K141" s="58"/>
      <c r="L141" s="59"/>
      <c r="M141" s="58"/>
      <c r="N141" s="58"/>
      <c r="O141" s="51"/>
      <c r="P141" s="51"/>
      <c r="Q141" s="37"/>
      <c r="R141" s="70"/>
      <c r="S141" s="70"/>
      <c r="T141" s="70"/>
      <c r="U141" s="71"/>
      <c r="V141" s="73"/>
      <c r="W141" s="75"/>
      <c r="X141" s="64"/>
      <c r="Y141" s="51"/>
      <c r="Z141" s="51"/>
    </row>
    <row r="142" spans="1:26">
      <c r="A142" s="51"/>
      <c r="B142" s="54"/>
      <c r="C142" s="51"/>
      <c r="D142" s="54"/>
      <c r="E142" s="51"/>
      <c r="F142" s="55"/>
      <c r="G142" s="56"/>
      <c r="H142" s="57"/>
      <c r="I142" s="51"/>
      <c r="J142" s="51"/>
      <c r="K142" s="58"/>
      <c r="L142" s="59"/>
      <c r="M142" s="58"/>
      <c r="N142" s="58"/>
      <c r="O142" s="51"/>
      <c r="P142" s="51"/>
      <c r="Q142" s="37"/>
      <c r="R142" s="70"/>
      <c r="S142" s="70"/>
      <c r="T142" s="70"/>
      <c r="U142" s="71"/>
      <c r="V142" s="73"/>
      <c r="W142" s="75"/>
      <c r="X142" s="64"/>
      <c r="Y142" s="51"/>
      <c r="Z142" s="51"/>
    </row>
    <row r="143" spans="1:26">
      <c r="A143" s="110"/>
      <c r="B143" s="54"/>
      <c r="C143" s="51"/>
      <c r="D143" s="54"/>
      <c r="E143" s="111"/>
      <c r="F143" s="111"/>
      <c r="G143" s="110"/>
      <c r="H143" s="111"/>
      <c r="I143" s="111"/>
      <c r="J143" s="111"/>
      <c r="K143" s="58"/>
      <c r="L143" s="111"/>
      <c r="M143" s="58"/>
      <c r="N143" s="58"/>
      <c r="O143" s="77"/>
      <c r="P143" s="112"/>
      <c r="Q143" s="37"/>
      <c r="R143" s="113"/>
      <c r="S143" s="113"/>
      <c r="T143" s="113"/>
      <c r="U143" s="114"/>
      <c r="V143" s="115"/>
      <c r="W143" s="116"/>
      <c r="X143" s="117"/>
      <c r="Y143" s="111"/>
      <c r="Z143" s="111"/>
    </row>
    <row r="144" spans="1:26">
      <c r="A144" s="51"/>
      <c r="B144" s="51"/>
      <c r="C144" s="51"/>
      <c r="D144" s="51"/>
      <c r="E144" s="51"/>
      <c r="F144" s="55"/>
      <c r="G144" s="56"/>
      <c r="H144" s="57"/>
      <c r="I144" s="51"/>
      <c r="J144" s="51"/>
      <c r="K144" s="58"/>
      <c r="L144" s="59"/>
      <c r="M144" s="58"/>
      <c r="N144" s="58"/>
      <c r="O144" s="51"/>
      <c r="P144" s="51"/>
      <c r="Q144" s="37"/>
      <c r="R144" s="70"/>
      <c r="S144" s="70"/>
      <c r="T144" s="70"/>
      <c r="U144" s="71"/>
      <c r="V144" s="73"/>
      <c r="W144" s="75"/>
      <c r="X144" s="64"/>
      <c r="Y144" s="51"/>
      <c r="Z144" s="51"/>
    </row>
    <row r="145" spans="1:33">
      <c r="A145" s="51"/>
      <c r="B145" s="51"/>
      <c r="C145" s="51"/>
      <c r="D145" s="51"/>
      <c r="E145" s="51"/>
      <c r="F145" s="55"/>
      <c r="G145" s="56"/>
      <c r="H145" s="57"/>
      <c r="I145" s="51"/>
      <c r="J145" s="51"/>
      <c r="K145" s="58"/>
      <c r="L145" s="59"/>
      <c r="M145" s="58"/>
      <c r="N145" s="58"/>
      <c r="O145" s="51"/>
      <c r="P145" s="51"/>
      <c r="Q145" s="37"/>
      <c r="R145" s="70"/>
      <c r="S145" s="70"/>
      <c r="T145" s="70"/>
      <c r="U145" s="71"/>
      <c r="V145" s="73"/>
      <c r="W145" s="75"/>
      <c r="X145" s="64"/>
      <c r="Y145" s="51"/>
      <c r="Z145" s="51"/>
    </row>
    <row r="146" spans="1:33">
      <c r="A146" s="51"/>
      <c r="B146" s="51"/>
      <c r="C146" s="51"/>
      <c r="D146" s="51"/>
      <c r="E146" s="51"/>
      <c r="F146" s="55"/>
      <c r="G146" s="56"/>
      <c r="H146" s="57"/>
      <c r="I146" s="51"/>
      <c r="J146" s="51"/>
      <c r="K146" s="58"/>
      <c r="L146" s="59"/>
      <c r="M146" s="58"/>
      <c r="N146" s="58"/>
      <c r="O146" s="51"/>
      <c r="P146" s="51"/>
      <c r="Q146" s="37"/>
      <c r="R146" s="70"/>
      <c r="S146" s="70"/>
      <c r="T146" s="70"/>
      <c r="U146" s="71"/>
      <c r="V146" s="73"/>
      <c r="W146" s="75"/>
      <c r="X146" s="64"/>
      <c r="Y146" s="51"/>
      <c r="Z146" s="51"/>
    </row>
    <row r="147" spans="1:33">
      <c r="A147" s="51"/>
      <c r="B147" s="51"/>
      <c r="C147" s="51"/>
      <c r="D147" s="51"/>
      <c r="E147" s="51"/>
      <c r="F147" s="55"/>
      <c r="G147" s="56"/>
      <c r="H147" s="57"/>
      <c r="I147" s="51"/>
      <c r="J147" s="51"/>
      <c r="K147" s="58"/>
      <c r="L147" s="59"/>
      <c r="M147" s="58"/>
      <c r="N147" s="58"/>
      <c r="O147" s="51"/>
      <c r="P147" s="51"/>
      <c r="Q147" s="37"/>
      <c r="R147" s="70"/>
      <c r="S147" s="70"/>
      <c r="T147" s="70"/>
      <c r="U147" s="71"/>
      <c r="V147" s="73"/>
      <c r="W147" s="75"/>
      <c r="X147" s="64"/>
      <c r="Y147" s="51"/>
      <c r="Z147" s="51"/>
    </row>
    <row r="148" spans="1:33">
      <c r="A148" s="51"/>
      <c r="B148" s="51"/>
      <c r="C148" s="51"/>
      <c r="D148" s="51"/>
      <c r="E148" s="51"/>
      <c r="F148" s="55"/>
      <c r="G148" s="56"/>
      <c r="H148" s="57"/>
      <c r="I148" s="51"/>
      <c r="J148" s="51"/>
      <c r="K148" s="58"/>
      <c r="L148" s="59"/>
      <c r="M148" s="58"/>
      <c r="N148" s="58"/>
      <c r="O148" s="51"/>
      <c r="P148" s="51"/>
      <c r="Q148" s="37"/>
      <c r="R148" s="70"/>
      <c r="S148" s="70"/>
      <c r="T148" s="70"/>
      <c r="U148" s="71"/>
      <c r="V148" s="73"/>
      <c r="W148" s="75"/>
      <c r="X148" s="64"/>
      <c r="Y148" s="51"/>
      <c r="Z148" s="51"/>
    </row>
    <row r="149" spans="1:33">
      <c r="A149" s="51"/>
      <c r="B149" s="51"/>
      <c r="C149" s="51"/>
      <c r="D149" s="51"/>
      <c r="E149" s="51"/>
      <c r="F149" s="55"/>
      <c r="G149" s="56"/>
      <c r="H149" s="57"/>
      <c r="I149" s="51"/>
      <c r="J149" s="51"/>
      <c r="K149" s="58"/>
      <c r="L149" s="59"/>
      <c r="M149" s="58"/>
      <c r="N149" s="58"/>
      <c r="O149" s="51"/>
      <c r="P149" s="51"/>
      <c r="Q149" s="37"/>
      <c r="R149" s="70"/>
      <c r="S149" s="70"/>
      <c r="T149" s="70"/>
      <c r="U149" s="71"/>
      <c r="V149" s="73"/>
      <c r="W149" s="75"/>
      <c r="X149" s="64"/>
      <c r="Y149" s="51"/>
      <c r="Z149" s="51"/>
    </row>
    <row r="150" spans="1:33">
      <c r="A150" s="51"/>
      <c r="B150" s="51"/>
      <c r="C150" s="51"/>
      <c r="D150" s="51"/>
      <c r="E150" s="51"/>
      <c r="F150" s="55"/>
      <c r="G150" s="56"/>
      <c r="H150" s="57"/>
      <c r="I150" s="51"/>
      <c r="J150" s="51"/>
      <c r="K150" s="58"/>
      <c r="L150" s="59"/>
      <c r="M150" s="58"/>
      <c r="N150" s="58"/>
      <c r="O150" s="51"/>
      <c r="P150" s="51"/>
      <c r="Q150" s="37"/>
      <c r="R150" s="70"/>
      <c r="S150" s="70"/>
      <c r="T150" s="70"/>
      <c r="U150" s="71"/>
      <c r="V150" s="73"/>
      <c r="W150" s="75"/>
      <c r="X150" s="64"/>
      <c r="Y150" s="51"/>
      <c r="Z150" s="51"/>
    </row>
    <row r="151" spans="1:33">
      <c r="A151" s="51"/>
      <c r="B151" s="51"/>
      <c r="C151" s="51"/>
      <c r="D151" s="51"/>
      <c r="E151" s="51"/>
      <c r="F151" s="55"/>
      <c r="G151" s="56"/>
      <c r="H151" s="57"/>
      <c r="I151" s="51"/>
      <c r="J151" s="51"/>
      <c r="K151" s="58"/>
      <c r="L151" s="59"/>
      <c r="M151" s="58"/>
      <c r="N151" s="58"/>
      <c r="O151" s="51"/>
      <c r="P151" s="51"/>
      <c r="Q151" s="37"/>
      <c r="R151" s="70"/>
      <c r="S151" s="70"/>
      <c r="T151" s="70"/>
      <c r="U151" s="71"/>
      <c r="V151" s="73"/>
      <c r="W151" s="75"/>
      <c r="X151" s="64"/>
      <c r="Y151" s="51"/>
      <c r="Z151" s="51"/>
    </row>
    <row r="152" spans="1:33">
      <c r="A152" s="51"/>
      <c r="B152" s="51"/>
      <c r="C152" s="51"/>
      <c r="D152" s="51"/>
      <c r="E152" s="51"/>
      <c r="F152" s="55"/>
      <c r="G152" s="56"/>
      <c r="H152" s="57"/>
      <c r="I152" s="51"/>
      <c r="J152" s="51"/>
      <c r="K152" s="58"/>
      <c r="L152" s="59"/>
      <c r="M152" s="58"/>
      <c r="N152" s="58"/>
      <c r="O152" s="51"/>
      <c r="P152" s="51"/>
      <c r="Q152" s="37"/>
      <c r="R152" s="70"/>
      <c r="S152" s="70"/>
      <c r="T152" s="70"/>
      <c r="U152" s="71"/>
      <c r="V152" s="73"/>
      <c r="W152" s="75"/>
      <c r="X152" s="64"/>
      <c r="Y152" s="51"/>
      <c r="Z152" s="51"/>
    </row>
    <row r="153" spans="1:33">
      <c r="A153" s="51"/>
      <c r="B153" s="51"/>
      <c r="C153" s="51"/>
      <c r="D153" s="51"/>
      <c r="E153" s="51"/>
      <c r="F153" s="55"/>
      <c r="G153" s="56"/>
      <c r="H153" s="57"/>
      <c r="I153" s="51"/>
      <c r="J153" s="51"/>
      <c r="K153" s="58"/>
      <c r="L153" s="59"/>
      <c r="M153" s="58"/>
      <c r="N153" s="58"/>
      <c r="O153" s="51"/>
      <c r="P153" s="51"/>
      <c r="Q153" s="37"/>
      <c r="R153" s="70"/>
      <c r="S153" s="70"/>
      <c r="T153" s="70"/>
      <c r="U153" s="71"/>
      <c r="V153" s="73"/>
      <c r="W153" s="75"/>
      <c r="X153" s="64"/>
      <c r="Y153" s="51"/>
      <c r="Z153" s="51"/>
    </row>
    <row r="154" spans="1:33">
      <c r="A154" s="51"/>
      <c r="B154" s="51"/>
      <c r="C154" s="51"/>
      <c r="D154" s="51"/>
      <c r="E154" s="51"/>
      <c r="F154" s="55"/>
      <c r="G154" s="56"/>
      <c r="H154" s="57"/>
      <c r="I154" s="51"/>
      <c r="J154" s="51"/>
      <c r="K154" s="58"/>
      <c r="L154" s="59"/>
      <c r="M154" s="58"/>
      <c r="N154" s="58"/>
      <c r="O154" s="51"/>
      <c r="P154" s="51"/>
      <c r="Q154" s="37"/>
      <c r="R154" s="70"/>
      <c r="S154" s="70"/>
      <c r="T154" s="70"/>
      <c r="U154" s="71"/>
      <c r="V154" s="73"/>
      <c r="W154" s="75"/>
      <c r="X154" s="117"/>
      <c r="Y154" s="111"/>
      <c r="Z154" s="111"/>
    </row>
    <row r="155" spans="1:33">
      <c r="A155" s="54"/>
      <c r="B155" s="54"/>
      <c r="C155" s="51"/>
      <c r="D155" s="51"/>
      <c r="E155" s="51"/>
      <c r="F155" s="55"/>
      <c r="G155" s="56"/>
      <c r="H155" s="57"/>
      <c r="I155" s="51"/>
      <c r="J155" s="51"/>
      <c r="K155" s="58"/>
      <c r="L155" s="59"/>
      <c r="M155" s="58"/>
      <c r="N155" s="58"/>
      <c r="O155" s="51"/>
      <c r="P155" s="99"/>
      <c r="Q155" s="37"/>
      <c r="R155" s="51"/>
      <c r="S155" s="51"/>
      <c r="T155" s="51"/>
      <c r="U155" s="51"/>
      <c r="V155" s="51"/>
      <c r="W155" s="51"/>
      <c r="X155" s="64"/>
      <c r="Y155" s="51"/>
      <c r="Z155" s="51"/>
      <c r="AA155" s="51"/>
      <c r="AB155" s="51"/>
      <c r="AC155" s="94"/>
      <c r="AD155" s="94"/>
      <c r="AE155" s="94"/>
      <c r="AF155" s="94"/>
      <c r="AG155" s="94"/>
    </row>
    <row r="156" spans="1:33">
      <c r="A156" s="54"/>
      <c r="B156" s="54"/>
      <c r="C156" s="51"/>
      <c r="D156" s="51"/>
      <c r="E156" s="51"/>
      <c r="F156" s="56"/>
      <c r="G156" s="54"/>
      <c r="H156" s="86"/>
      <c r="I156" s="51"/>
      <c r="J156" s="51"/>
      <c r="K156" s="58"/>
      <c r="L156" s="59"/>
      <c r="M156" s="58"/>
      <c r="N156" s="58"/>
      <c r="O156" s="77"/>
      <c r="P156" s="81"/>
      <c r="Q156" s="37"/>
      <c r="R156" s="74"/>
      <c r="S156" s="74"/>
      <c r="T156" s="74"/>
      <c r="U156" s="71"/>
      <c r="V156" s="73"/>
      <c r="W156" s="75"/>
      <c r="X156" s="64"/>
      <c r="Y156" s="51"/>
      <c r="Z156" s="51"/>
      <c r="AA156" s="82"/>
      <c r="AB156" s="82"/>
      <c r="AC156" s="82"/>
      <c r="AD156" s="82"/>
      <c r="AE156" s="82"/>
      <c r="AF156" s="82"/>
      <c r="AG156" s="82"/>
    </row>
    <row r="157" spans="1:33">
      <c r="A157" s="54"/>
      <c r="B157" s="54"/>
      <c r="C157" s="51"/>
      <c r="D157" s="51"/>
      <c r="E157" s="51"/>
      <c r="F157" s="56"/>
      <c r="G157" s="54"/>
      <c r="H157" s="86"/>
      <c r="I157" s="51"/>
      <c r="J157" s="51"/>
      <c r="K157" s="58"/>
      <c r="L157" s="59"/>
      <c r="M157" s="58"/>
      <c r="N157" s="58"/>
      <c r="O157" s="77"/>
      <c r="P157" s="81"/>
      <c r="Q157" s="37"/>
      <c r="R157" s="74"/>
      <c r="S157" s="74"/>
      <c r="T157" s="74"/>
      <c r="U157" s="71"/>
      <c r="V157" s="73"/>
      <c r="W157" s="75"/>
      <c r="X157" s="64"/>
      <c r="Y157" s="51"/>
      <c r="Z157" s="51"/>
      <c r="AA157" s="82"/>
      <c r="AB157" s="82"/>
      <c r="AC157" s="82"/>
      <c r="AD157" s="82"/>
      <c r="AE157" s="82"/>
      <c r="AF157" s="82"/>
      <c r="AG157" s="82"/>
    </row>
    <row r="158" spans="1:33">
      <c r="A158" s="54"/>
      <c r="B158" s="54"/>
      <c r="C158" s="51"/>
      <c r="D158" s="51"/>
      <c r="E158" s="51"/>
      <c r="F158" s="56"/>
      <c r="G158" s="54"/>
      <c r="H158" s="86"/>
      <c r="I158" s="51"/>
      <c r="J158" s="51"/>
      <c r="K158" s="58"/>
      <c r="L158" s="59"/>
      <c r="M158" s="58"/>
      <c r="N158" s="58"/>
      <c r="O158" s="77"/>
      <c r="P158" s="81"/>
      <c r="Q158" s="37"/>
      <c r="R158" s="74"/>
      <c r="S158" s="74"/>
      <c r="T158" s="74"/>
      <c r="U158" s="71"/>
      <c r="V158" s="73"/>
      <c r="W158" s="75"/>
      <c r="X158" s="78"/>
      <c r="Y158" s="54"/>
      <c r="Z158" s="54"/>
      <c r="AA158" s="82"/>
      <c r="AB158" s="82"/>
      <c r="AC158" s="82"/>
      <c r="AD158" s="82"/>
      <c r="AE158" s="82"/>
      <c r="AF158" s="82"/>
      <c r="AG158" s="82"/>
    </row>
    <row r="159" spans="1:33">
      <c r="A159" s="54"/>
      <c r="B159" s="54"/>
      <c r="C159" s="51"/>
      <c r="D159" s="51"/>
      <c r="E159" s="51"/>
      <c r="F159" s="56"/>
      <c r="G159" s="54"/>
      <c r="H159" s="86"/>
      <c r="I159" s="51"/>
      <c r="J159" s="51"/>
      <c r="K159" s="58"/>
      <c r="L159" s="59"/>
      <c r="M159" s="58"/>
      <c r="N159" s="58"/>
      <c r="O159" s="77"/>
      <c r="P159" s="81"/>
      <c r="Q159" s="37"/>
      <c r="R159" s="74"/>
      <c r="S159" s="74"/>
      <c r="T159" s="74"/>
      <c r="U159" s="71"/>
      <c r="V159" s="73"/>
      <c r="W159" s="75"/>
      <c r="X159" s="64"/>
      <c r="Y159" s="51"/>
      <c r="Z159" s="51"/>
      <c r="AA159" s="82"/>
      <c r="AB159" s="82"/>
      <c r="AC159" s="82"/>
      <c r="AD159" s="82"/>
      <c r="AE159" s="82"/>
      <c r="AF159" s="82"/>
      <c r="AG159" s="82"/>
    </row>
    <row r="160" spans="1:33">
      <c r="A160" s="54"/>
      <c r="B160" s="54"/>
      <c r="C160" s="51"/>
      <c r="D160" s="51"/>
      <c r="E160" s="51"/>
      <c r="F160" s="56"/>
      <c r="G160" s="54"/>
      <c r="H160" s="86"/>
      <c r="I160" s="51"/>
      <c r="J160" s="51"/>
      <c r="K160" s="58"/>
      <c r="L160" s="59"/>
      <c r="M160" s="58"/>
      <c r="N160" s="58"/>
      <c r="O160" s="77"/>
      <c r="P160" s="81"/>
      <c r="Q160" s="37"/>
      <c r="R160" s="74"/>
      <c r="S160" s="74"/>
      <c r="T160" s="74"/>
      <c r="U160" s="71"/>
      <c r="V160" s="73"/>
      <c r="W160" s="75"/>
      <c r="X160" s="64"/>
      <c r="Y160" s="51"/>
      <c r="Z160" s="51"/>
      <c r="AA160" s="82"/>
      <c r="AB160" s="82"/>
      <c r="AC160" s="82"/>
      <c r="AD160" s="82"/>
      <c r="AE160" s="82"/>
      <c r="AF160" s="82"/>
      <c r="AG160" s="82"/>
    </row>
    <row r="161" spans="1:33">
      <c r="A161" s="54"/>
      <c r="B161" s="54"/>
      <c r="C161" s="51"/>
      <c r="D161" s="51"/>
      <c r="E161" s="51"/>
      <c r="F161" s="56"/>
      <c r="G161" s="54"/>
      <c r="H161" s="86"/>
      <c r="I161" s="51"/>
      <c r="J161" s="51"/>
      <c r="K161" s="58"/>
      <c r="L161" s="59"/>
      <c r="M161" s="58"/>
      <c r="N161" s="58"/>
      <c r="O161" s="77"/>
      <c r="P161" s="81"/>
      <c r="Q161" s="37"/>
      <c r="R161" s="74"/>
      <c r="S161" s="74"/>
      <c r="T161" s="74"/>
      <c r="U161" s="71"/>
      <c r="V161" s="73"/>
      <c r="W161" s="75"/>
      <c r="X161" s="64"/>
      <c r="Y161" s="51"/>
      <c r="Z161" s="51"/>
      <c r="AA161" s="82"/>
      <c r="AB161" s="82"/>
      <c r="AC161" s="82"/>
      <c r="AD161" s="82"/>
      <c r="AE161" s="82"/>
      <c r="AF161" s="82"/>
      <c r="AG161" s="82"/>
    </row>
    <row r="162" spans="1:33">
      <c r="A162" s="54"/>
      <c r="B162" s="54"/>
      <c r="C162" s="51"/>
      <c r="D162" s="51"/>
      <c r="E162" s="51"/>
      <c r="F162" s="56"/>
      <c r="G162" s="54"/>
      <c r="H162" s="86"/>
      <c r="I162" s="51"/>
      <c r="J162" s="51"/>
      <c r="K162" s="58"/>
      <c r="L162" s="59"/>
      <c r="M162" s="58"/>
      <c r="N162" s="58"/>
      <c r="O162" s="77"/>
      <c r="P162" s="81"/>
      <c r="Q162" s="37"/>
      <c r="R162" s="74"/>
      <c r="S162" s="74"/>
      <c r="T162" s="74"/>
      <c r="U162" s="71"/>
      <c r="V162" s="73"/>
      <c r="W162" s="75"/>
      <c r="X162" s="64"/>
      <c r="Y162" s="51"/>
      <c r="Z162" s="51"/>
      <c r="AA162" s="82"/>
      <c r="AB162" s="82"/>
      <c r="AC162" s="82"/>
      <c r="AD162" s="82"/>
      <c r="AE162" s="82"/>
      <c r="AF162" s="82"/>
      <c r="AG162" s="82"/>
    </row>
    <row r="163" spans="1:33">
      <c r="A163" s="51"/>
      <c r="B163" s="51"/>
      <c r="C163" s="51"/>
      <c r="D163" s="51"/>
      <c r="E163" s="51"/>
      <c r="F163" s="55"/>
      <c r="G163" s="56"/>
      <c r="H163" s="57"/>
      <c r="I163" s="51"/>
      <c r="J163" s="51"/>
      <c r="K163" s="58"/>
      <c r="L163" s="59"/>
      <c r="M163" s="58"/>
      <c r="N163" s="58"/>
      <c r="O163" s="51"/>
      <c r="P163" s="51"/>
      <c r="Q163" s="37"/>
      <c r="R163" s="70"/>
      <c r="S163" s="70"/>
      <c r="T163" s="70"/>
      <c r="U163" s="71"/>
      <c r="V163" s="73"/>
      <c r="W163" s="75"/>
      <c r="X163" s="117"/>
      <c r="Y163" s="111"/>
      <c r="Z163" s="111"/>
    </row>
    <row r="164" spans="1:33">
      <c r="A164" s="51"/>
      <c r="B164" s="51"/>
      <c r="C164" s="51"/>
      <c r="D164" s="51"/>
      <c r="E164" s="51"/>
      <c r="F164" s="55"/>
      <c r="G164" s="56"/>
      <c r="H164" s="57"/>
      <c r="I164" s="51"/>
      <c r="J164" s="51"/>
      <c r="K164" s="58"/>
      <c r="L164" s="59"/>
      <c r="M164" s="58"/>
      <c r="N164" s="58"/>
      <c r="O164" s="51"/>
      <c r="P164" s="51"/>
      <c r="Q164" s="37"/>
      <c r="R164" s="70"/>
      <c r="S164" s="70"/>
      <c r="T164" s="70"/>
      <c r="U164" s="71"/>
      <c r="V164" s="73"/>
      <c r="W164" s="75"/>
      <c r="X164" s="117"/>
      <c r="Y164" s="111"/>
      <c r="Z164" s="111"/>
    </row>
    <row r="165" spans="1:33">
      <c r="A165" s="51"/>
      <c r="B165" s="54"/>
      <c r="C165" s="51"/>
      <c r="D165" s="54"/>
      <c r="E165" s="51"/>
      <c r="F165" s="55"/>
      <c r="G165" s="56"/>
      <c r="H165" s="57"/>
      <c r="I165" s="51"/>
      <c r="J165" s="51"/>
      <c r="K165" s="58"/>
      <c r="L165" s="59"/>
      <c r="M165" s="58"/>
      <c r="N165" s="58"/>
      <c r="O165" s="51"/>
      <c r="P165" s="100"/>
      <c r="Q165" s="37"/>
      <c r="R165" s="70"/>
      <c r="S165" s="70"/>
      <c r="T165" s="70"/>
      <c r="U165" s="71"/>
      <c r="V165" s="73"/>
      <c r="W165" s="75"/>
      <c r="X165" s="117"/>
      <c r="Y165" s="111"/>
      <c r="Z165" s="111"/>
    </row>
    <row r="166" spans="1:33">
      <c r="A166" s="118"/>
      <c r="B166" s="54"/>
      <c r="C166" s="51"/>
      <c r="D166" s="54"/>
      <c r="E166" s="111"/>
      <c r="F166" s="111"/>
      <c r="G166" s="110"/>
      <c r="H166" s="111"/>
      <c r="I166" s="111"/>
      <c r="J166" s="111"/>
      <c r="K166" s="58"/>
      <c r="L166" s="111"/>
      <c r="M166" s="58"/>
      <c r="N166" s="58"/>
      <c r="O166" s="77"/>
      <c r="P166" s="112"/>
      <c r="Q166" s="37"/>
      <c r="R166" s="113"/>
      <c r="S166" s="113"/>
      <c r="T166" s="113"/>
      <c r="U166" s="114"/>
      <c r="V166" s="115"/>
      <c r="W166" s="116"/>
      <c r="X166" s="117"/>
      <c r="Y166" s="111"/>
      <c r="Z166" s="111"/>
    </row>
    <row r="167" spans="1:33">
      <c r="A167" s="118"/>
      <c r="B167" s="54"/>
      <c r="C167" s="51"/>
      <c r="D167" s="54"/>
      <c r="E167" s="111"/>
      <c r="F167" s="111"/>
      <c r="G167" s="110"/>
      <c r="H167" s="110"/>
      <c r="I167" s="111"/>
      <c r="J167" s="111"/>
      <c r="K167" s="58"/>
      <c r="L167" s="111"/>
      <c r="M167" s="58"/>
      <c r="N167" s="58"/>
      <c r="O167" s="77"/>
      <c r="P167" s="112"/>
      <c r="Q167" s="37"/>
      <c r="R167" s="113"/>
      <c r="S167" s="113"/>
      <c r="T167" s="113"/>
      <c r="U167" s="114"/>
      <c r="V167" s="115"/>
      <c r="W167" s="116"/>
      <c r="X167" s="117"/>
      <c r="Y167" s="111"/>
      <c r="Z167" s="111"/>
    </row>
    <row r="168" spans="1:33">
      <c r="A168" s="118"/>
      <c r="B168" s="54"/>
      <c r="C168" s="51"/>
      <c r="D168" s="54"/>
      <c r="E168" s="111"/>
      <c r="F168" s="111"/>
      <c r="G168" s="110"/>
      <c r="H168" s="111"/>
      <c r="I168" s="111"/>
      <c r="J168" s="111"/>
      <c r="K168" s="58"/>
      <c r="L168" s="111"/>
      <c r="M168" s="58"/>
      <c r="N168" s="58"/>
      <c r="O168" s="77"/>
      <c r="P168" s="112"/>
      <c r="Q168" s="37"/>
      <c r="R168" s="113"/>
      <c r="S168" s="113"/>
      <c r="T168" s="113"/>
      <c r="U168" s="114"/>
      <c r="V168" s="115"/>
      <c r="W168" s="116"/>
      <c r="X168" s="117"/>
      <c r="Y168" s="111"/>
      <c r="Z168" s="111"/>
    </row>
    <row r="169" spans="1:33">
      <c r="A169" s="118"/>
      <c r="B169" s="54"/>
      <c r="C169" s="51"/>
      <c r="D169" s="54"/>
      <c r="E169" s="111"/>
      <c r="F169" s="111"/>
      <c r="G169" s="110"/>
      <c r="H169" s="111"/>
      <c r="I169" s="111"/>
      <c r="J169" s="111"/>
      <c r="K169" s="58"/>
      <c r="L169" s="111"/>
      <c r="M169" s="58"/>
      <c r="N169" s="58"/>
      <c r="O169" s="77"/>
      <c r="P169" s="112"/>
      <c r="Q169" s="37"/>
      <c r="R169" s="113"/>
      <c r="S169" s="113"/>
      <c r="T169" s="113"/>
      <c r="U169" s="114"/>
      <c r="V169" s="115"/>
      <c r="W169" s="116"/>
      <c r="X169" s="117"/>
      <c r="Y169" s="111"/>
      <c r="Z169" s="111"/>
    </row>
    <row r="170" spans="1:33">
      <c r="A170" s="118"/>
      <c r="B170" s="120"/>
      <c r="C170" s="51"/>
      <c r="D170" s="120"/>
      <c r="E170" s="111"/>
      <c r="F170" s="111"/>
      <c r="G170" s="110"/>
      <c r="H170" s="111"/>
      <c r="I170" s="111"/>
      <c r="J170" s="111"/>
      <c r="K170" s="58"/>
      <c r="L170" s="111"/>
      <c r="M170" s="58"/>
      <c r="N170" s="58"/>
      <c r="O170" s="77"/>
      <c r="P170" s="112"/>
      <c r="Q170" s="37"/>
      <c r="R170" s="113"/>
      <c r="S170" s="113"/>
      <c r="T170" s="113"/>
      <c r="U170" s="114"/>
      <c r="V170" s="115"/>
      <c r="W170" s="116"/>
      <c r="X170" s="117"/>
      <c r="Y170" s="111"/>
      <c r="Z170" s="111"/>
    </row>
    <row r="171" spans="1:33">
      <c r="A171" s="118"/>
      <c r="B171" s="120"/>
      <c r="C171" s="51"/>
      <c r="D171" s="120"/>
      <c r="E171" s="111"/>
      <c r="F171" s="111"/>
      <c r="G171" s="110"/>
      <c r="H171" s="110"/>
      <c r="I171" s="111"/>
      <c r="J171" s="111"/>
      <c r="K171" s="58"/>
      <c r="L171" s="111"/>
      <c r="M171" s="58"/>
      <c r="N171" s="58"/>
      <c r="O171" s="77"/>
      <c r="P171" s="112"/>
      <c r="Q171" s="37"/>
      <c r="R171" s="113"/>
      <c r="S171" s="113"/>
      <c r="T171" s="113"/>
      <c r="U171" s="114"/>
      <c r="V171" s="115"/>
      <c r="W171" s="116"/>
      <c r="X171" s="117"/>
      <c r="Y171" s="111"/>
      <c r="Z171" s="111"/>
    </row>
    <row r="172" spans="1:33">
      <c r="A172" s="118"/>
      <c r="B172" s="120"/>
      <c r="C172" s="51"/>
      <c r="D172" s="120"/>
      <c r="E172" s="111"/>
      <c r="F172" s="111"/>
      <c r="G172" s="110"/>
      <c r="H172" s="111"/>
      <c r="I172" s="111"/>
      <c r="J172" s="111"/>
      <c r="K172" s="58"/>
      <c r="L172" s="111"/>
      <c r="M172" s="58"/>
      <c r="N172" s="58"/>
      <c r="O172" s="77"/>
      <c r="P172" s="112"/>
      <c r="Q172" s="37"/>
      <c r="R172" s="113"/>
      <c r="S172" s="113"/>
      <c r="T172" s="113"/>
      <c r="U172" s="114"/>
      <c r="V172" s="115"/>
      <c r="W172" s="116"/>
      <c r="X172" s="117"/>
      <c r="Y172" s="111"/>
      <c r="Z172" s="111"/>
    </row>
    <row r="173" spans="1:33">
      <c r="A173" s="118"/>
      <c r="B173" s="120"/>
      <c r="C173" s="51"/>
      <c r="D173" s="120"/>
      <c r="E173" s="111"/>
      <c r="F173" s="111"/>
      <c r="G173" s="110"/>
      <c r="H173" s="110"/>
      <c r="I173" s="111"/>
      <c r="J173" s="111"/>
      <c r="K173" s="58"/>
      <c r="L173" s="111"/>
      <c r="M173" s="58"/>
      <c r="N173" s="58"/>
      <c r="O173" s="77"/>
      <c r="P173" s="112"/>
      <c r="Q173" s="37"/>
      <c r="R173" s="113"/>
      <c r="S173" s="113"/>
      <c r="T173" s="113"/>
      <c r="U173" s="114"/>
      <c r="V173" s="115"/>
      <c r="W173" s="116"/>
      <c r="X173" s="117"/>
      <c r="Y173" s="111"/>
      <c r="Z173" s="111"/>
    </row>
    <row r="174" spans="1:33">
      <c r="A174" s="118"/>
      <c r="B174" s="120"/>
      <c r="C174" s="51"/>
      <c r="D174" s="120"/>
      <c r="E174" s="111"/>
      <c r="F174" s="111"/>
      <c r="G174" s="110"/>
      <c r="H174" s="111"/>
      <c r="I174" s="111"/>
      <c r="J174" s="111"/>
      <c r="K174" s="58"/>
      <c r="L174" s="111"/>
      <c r="M174" s="58"/>
      <c r="N174" s="58"/>
      <c r="O174" s="77"/>
      <c r="P174" s="112"/>
      <c r="Q174" s="37"/>
      <c r="R174" s="113"/>
      <c r="S174" s="113"/>
      <c r="T174" s="113"/>
      <c r="U174" s="114"/>
      <c r="V174" s="115"/>
      <c r="W174" s="116"/>
      <c r="X174" s="117"/>
      <c r="Y174" s="111"/>
      <c r="Z174" s="111"/>
    </row>
    <row r="175" spans="1:33">
      <c r="A175" s="118"/>
      <c r="B175" s="120"/>
      <c r="C175" s="51"/>
      <c r="D175" s="120"/>
      <c r="E175" s="111"/>
      <c r="F175" s="111"/>
      <c r="G175" s="110"/>
      <c r="H175" s="111"/>
      <c r="I175" s="111"/>
      <c r="J175" s="111"/>
      <c r="K175" s="58"/>
      <c r="L175" s="111"/>
      <c r="M175" s="58"/>
      <c r="N175" s="58"/>
      <c r="O175" s="77"/>
      <c r="P175" s="112"/>
      <c r="Q175" s="37"/>
      <c r="R175" s="113"/>
      <c r="S175" s="113"/>
      <c r="T175" s="113"/>
      <c r="U175" s="114"/>
      <c r="V175" s="115"/>
      <c r="W175" s="116"/>
      <c r="X175" s="117"/>
      <c r="Y175" s="111"/>
      <c r="Z175" s="111"/>
    </row>
    <row r="176" spans="1:33">
      <c r="A176" s="51"/>
      <c r="B176" s="51"/>
      <c r="C176" s="51"/>
      <c r="D176" s="51"/>
      <c r="E176" s="51"/>
      <c r="F176" s="55"/>
      <c r="G176" s="56"/>
      <c r="H176" s="57"/>
      <c r="I176" s="51"/>
      <c r="J176" s="51"/>
      <c r="K176" s="58"/>
      <c r="L176" s="59"/>
      <c r="M176" s="58"/>
      <c r="N176" s="58"/>
      <c r="O176" s="51"/>
      <c r="P176" s="51"/>
      <c r="Q176" s="37"/>
      <c r="R176" s="70"/>
      <c r="S176" s="70"/>
      <c r="T176" s="70"/>
      <c r="U176" s="71"/>
      <c r="V176" s="73"/>
      <c r="W176" s="75"/>
      <c r="X176" s="117"/>
      <c r="Y176" s="111"/>
      <c r="Z176" s="111"/>
    </row>
    <row r="177" spans="1:26">
      <c r="A177" s="51"/>
      <c r="B177" s="51"/>
      <c r="C177" s="51"/>
      <c r="D177" s="51"/>
      <c r="E177" s="51"/>
      <c r="F177" s="55"/>
      <c r="G177" s="56"/>
      <c r="H177" s="57"/>
      <c r="I177" s="51"/>
      <c r="J177" s="51"/>
      <c r="K177" s="58"/>
      <c r="L177" s="59"/>
      <c r="M177" s="58"/>
      <c r="N177" s="58"/>
      <c r="O177" s="51"/>
      <c r="P177" s="51"/>
      <c r="Q177" s="37"/>
      <c r="R177" s="70"/>
      <c r="S177" s="70"/>
      <c r="T177" s="70"/>
      <c r="U177" s="71"/>
      <c r="V177" s="73"/>
      <c r="W177" s="75"/>
      <c r="X177" s="117"/>
      <c r="Y177" s="111"/>
      <c r="Z177" s="111"/>
    </row>
    <row r="178" spans="1:26">
      <c r="A178" s="51"/>
      <c r="B178" s="51"/>
      <c r="C178" s="51"/>
      <c r="D178" s="51"/>
      <c r="E178" s="51"/>
      <c r="F178" s="55"/>
      <c r="G178" s="56"/>
      <c r="H178" s="57"/>
      <c r="I178" s="51"/>
      <c r="J178" s="51"/>
      <c r="K178" s="58"/>
      <c r="L178" s="59"/>
      <c r="M178" s="58"/>
      <c r="N178" s="58"/>
      <c r="O178" s="51"/>
      <c r="P178" s="51"/>
      <c r="Q178" s="37"/>
      <c r="R178" s="70"/>
      <c r="S178" s="70"/>
      <c r="T178" s="70"/>
      <c r="U178" s="71"/>
      <c r="V178" s="73"/>
      <c r="W178" s="75"/>
      <c r="X178" s="117"/>
      <c r="Y178" s="111"/>
      <c r="Z178" s="111"/>
    </row>
    <row r="179" spans="1:26">
      <c r="A179" s="51"/>
      <c r="B179" s="51"/>
      <c r="C179" s="51"/>
      <c r="D179" s="51"/>
      <c r="E179" s="51"/>
      <c r="F179" s="55"/>
      <c r="G179" s="56"/>
      <c r="H179" s="57"/>
      <c r="I179" s="51"/>
      <c r="J179" s="51"/>
      <c r="K179" s="58"/>
      <c r="L179" s="59"/>
      <c r="M179" s="58"/>
      <c r="N179" s="58"/>
      <c r="O179" s="51"/>
      <c r="P179" s="51"/>
      <c r="Q179" s="37"/>
      <c r="R179" s="70"/>
      <c r="S179" s="70"/>
      <c r="T179" s="70"/>
      <c r="U179" s="71"/>
      <c r="V179" s="73"/>
      <c r="W179" s="75"/>
      <c r="X179" s="117"/>
      <c r="Y179" s="111"/>
      <c r="Z179" s="111"/>
    </row>
    <row r="180" spans="1:26">
      <c r="A180" s="51"/>
      <c r="B180" s="51"/>
      <c r="C180" s="51"/>
      <c r="D180" s="51"/>
      <c r="E180" s="51"/>
      <c r="F180" s="55"/>
      <c r="G180" s="56"/>
      <c r="H180" s="57"/>
      <c r="I180" s="51"/>
      <c r="J180" s="51"/>
      <c r="K180" s="58"/>
      <c r="L180" s="59"/>
      <c r="M180" s="58"/>
      <c r="N180" s="58"/>
      <c r="O180" s="51"/>
      <c r="P180" s="51"/>
      <c r="Q180" s="37"/>
      <c r="R180" s="70"/>
      <c r="S180" s="70"/>
      <c r="T180" s="70"/>
      <c r="U180" s="71"/>
      <c r="V180" s="73"/>
      <c r="W180" s="75"/>
      <c r="X180" s="117"/>
      <c r="Y180" s="111"/>
      <c r="Z180" s="111"/>
    </row>
    <row r="181" spans="1:26">
      <c r="A181" s="51"/>
      <c r="B181" s="51"/>
      <c r="C181" s="51"/>
      <c r="D181" s="51"/>
      <c r="E181" s="51"/>
      <c r="F181" s="55"/>
      <c r="G181" s="56"/>
      <c r="H181" s="57"/>
      <c r="I181" s="51"/>
      <c r="J181" s="51"/>
      <c r="K181" s="58"/>
      <c r="L181" s="59"/>
      <c r="M181" s="58"/>
      <c r="N181" s="58"/>
      <c r="O181" s="51"/>
      <c r="P181" s="51"/>
      <c r="Q181" s="37"/>
      <c r="R181" s="70"/>
      <c r="S181" s="70"/>
      <c r="T181" s="70"/>
      <c r="U181" s="71"/>
      <c r="V181" s="73"/>
      <c r="W181" s="75"/>
      <c r="X181" s="117"/>
      <c r="Y181" s="111"/>
      <c r="Z181" s="111"/>
    </row>
    <row r="182" spans="1:26">
      <c r="A182" s="51"/>
      <c r="B182" s="51"/>
      <c r="C182" s="51"/>
      <c r="D182" s="51"/>
      <c r="E182" s="51"/>
      <c r="F182" s="55"/>
      <c r="G182" s="56"/>
      <c r="H182" s="57"/>
      <c r="I182" s="51"/>
      <c r="J182" s="51"/>
      <c r="K182" s="58"/>
      <c r="L182" s="59"/>
      <c r="M182" s="58"/>
      <c r="N182" s="58"/>
      <c r="O182" s="51"/>
      <c r="P182" s="51"/>
      <c r="Q182" s="37"/>
      <c r="R182" s="70"/>
      <c r="S182" s="70"/>
      <c r="T182" s="70"/>
      <c r="U182" s="71"/>
      <c r="V182" s="73"/>
      <c r="W182" s="75"/>
      <c r="X182" s="117"/>
      <c r="Y182" s="111"/>
      <c r="Z182" s="111"/>
    </row>
    <row r="183" spans="1:26" ht="20.25" customHeight="1">
      <c r="A183" s="51"/>
      <c r="B183" s="54"/>
      <c r="C183" s="51"/>
      <c r="D183" s="54"/>
      <c r="E183" s="51"/>
      <c r="F183" s="55"/>
      <c r="G183" s="80"/>
      <c r="H183" s="76"/>
      <c r="I183" s="51"/>
      <c r="J183" s="51"/>
      <c r="K183" s="58"/>
      <c r="L183" s="59"/>
      <c r="M183" s="58"/>
      <c r="N183" s="58"/>
      <c r="O183" s="51"/>
      <c r="P183" s="51"/>
      <c r="Q183" s="37"/>
      <c r="R183" s="70"/>
      <c r="S183" s="70"/>
      <c r="T183" s="70"/>
      <c r="U183" s="71"/>
      <c r="V183" s="73"/>
      <c r="W183" s="75"/>
      <c r="X183" s="121"/>
      <c r="Y183" s="110"/>
      <c r="Z183" s="110"/>
    </row>
    <row r="184" spans="1:26">
      <c r="A184" s="51"/>
      <c r="B184" s="54"/>
      <c r="C184" s="51"/>
      <c r="D184" s="54"/>
      <c r="E184" s="51"/>
      <c r="F184" s="55"/>
      <c r="G184" s="56"/>
      <c r="H184" s="57"/>
      <c r="I184" s="51"/>
      <c r="J184" s="51"/>
      <c r="K184" s="58"/>
      <c r="L184" s="59"/>
      <c r="M184" s="58"/>
      <c r="N184" s="58"/>
      <c r="O184" s="51"/>
      <c r="P184" s="51"/>
      <c r="Q184" s="37"/>
      <c r="R184" s="74"/>
      <c r="S184" s="74"/>
      <c r="T184" s="74"/>
      <c r="U184" s="71"/>
      <c r="V184" s="73"/>
      <c r="W184" s="102"/>
      <c r="X184" s="117"/>
      <c r="Y184" s="111"/>
      <c r="Z184" s="111"/>
    </row>
    <row r="185" spans="1:26">
      <c r="A185" s="54"/>
      <c r="B185" s="54"/>
      <c r="C185" s="51"/>
      <c r="D185" s="54"/>
      <c r="E185" s="51"/>
      <c r="F185" s="56"/>
      <c r="G185" s="54"/>
      <c r="H185" s="86"/>
      <c r="I185" s="51"/>
      <c r="J185" s="51"/>
      <c r="K185" s="58"/>
      <c r="L185" s="59"/>
      <c r="M185" s="58"/>
      <c r="N185" s="58"/>
      <c r="O185" s="77"/>
      <c r="P185" s="112"/>
      <c r="Q185" s="37"/>
      <c r="R185" s="74"/>
      <c r="S185" s="74"/>
      <c r="T185" s="74"/>
      <c r="U185" s="114"/>
      <c r="V185" s="115"/>
      <c r="W185" s="116"/>
      <c r="X185" s="117"/>
      <c r="Y185" s="111"/>
      <c r="Z185" s="111"/>
    </row>
    <row r="186" spans="1:26">
      <c r="A186" s="54"/>
      <c r="B186" s="54"/>
      <c r="C186" s="51"/>
      <c r="D186" s="54"/>
      <c r="E186" s="51"/>
      <c r="F186" s="56"/>
      <c r="G186" s="54"/>
      <c r="H186" s="86"/>
      <c r="I186" s="51"/>
      <c r="J186" s="51"/>
      <c r="K186" s="58"/>
      <c r="L186" s="59"/>
      <c r="M186" s="58"/>
      <c r="N186" s="58"/>
      <c r="O186" s="77"/>
      <c r="P186" s="112"/>
      <c r="Q186" s="37"/>
      <c r="R186" s="74"/>
      <c r="S186" s="74"/>
      <c r="T186" s="74"/>
      <c r="U186" s="114"/>
      <c r="V186" s="115"/>
      <c r="W186" s="116"/>
      <c r="X186" s="117"/>
      <c r="Y186" s="111"/>
      <c r="Z186" s="111"/>
    </row>
    <row r="187" spans="1:26">
      <c r="A187" s="54"/>
      <c r="B187" s="54"/>
      <c r="C187" s="51"/>
      <c r="D187" s="54"/>
      <c r="E187" s="51"/>
      <c r="F187" s="56"/>
      <c r="G187" s="54"/>
      <c r="H187" s="86"/>
      <c r="I187" s="51"/>
      <c r="J187" s="51"/>
      <c r="K187" s="58"/>
      <c r="L187" s="59"/>
      <c r="M187" s="58"/>
      <c r="N187" s="58"/>
      <c r="O187" s="77"/>
      <c r="P187" s="112"/>
      <c r="Q187" s="37"/>
      <c r="R187" s="74"/>
      <c r="S187" s="74"/>
      <c r="T187" s="74"/>
      <c r="U187" s="114"/>
      <c r="V187" s="115"/>
      <c r="W187" s="116"/>
      <c r="X187" s="117"/>
      <c r="Y187" s="111"/>
      <c r="Z187" s="111"/>
    </row>
    <row r="188" spans="1:26">
      <c r="A188" s="54"/>
      <c r="B188" s="54"/>
      <c r="C188" s="51"/>
      <c r="D188" s="54"/>
      <c r="E188" s="51"/>
      <c r="F188" s="56"/>
      <c r="G188" s="54"/>
      <c r="H188" s="86"/>
      <c r="I188" s="51"/>
      <c r="J188" s="51"/>
      <c r="K188" s="58"/>
      <c r="L188" s="59"/>
      <c r="M188" s="58"/>
      <c r="N188" s="58"/>
      <c r="O188" s="77"/>
      <c r="P188" s="112"/>
      <c r="Q188" s="37"/>
      <c r="R188" s="74"/>
      <c r="S188" s="74"/>
      <c r="T188" s="74"/>
      <c r="U188" s="114"/>
      <c r="V188" s="115"/>
      <c r="W188" s="116"/>
      <c r="X188" s="117"/>
      <c r="Y188" s="111"/>
      <c r="Z188" s="111"/>
    </row>
    <row r="189" spans="1:26">
      <c r="A189" s="54"/>
      <c r="B189" s="54"/>
      <c r="C189" s="51"/>
      <c r="D189" s="54"/>
      <c r="E189" s="51"/>
      <c r="F189" s="56"/>
      <c r="G189" s="54"/>
      <c r="H189" s="86"/>
      <c r="I189" s="51"/>
      <c r="J189" s="51"/>
      <c r="K189" s="58"/>
      <c r="L189" s="59"/>
      <c r="M189" s="58"/>
      <c r="N189" s="58"/>
      <c r="O189" s="77"/>
      <c r="P189" s="112"/>
      <c r="Q189" s="37"/>
      <c r="R189" s="74"/>
      <c r="S189" s="74"/>
      <c r="T189" s="74"/>
      <c r="U189" s="114"/>
      <c r="V189" s="115"/>
      <c r="W189" s="116"/>
      <c r="X189" s="117"/>
      <c r="Y189" s="111"/>
      <c r="Z189" s="111"/>
    </row>
    <row r="190" spans="1:26">
      <c r="A190" s="54"/>
      <c r="B190" s="54"/>
      <c r="C190" s="51"/>
      <c r="D190" s="54"/>
      <c r="E190" s="51"/>
      <c r="F190" s="56"/>
      <c r="G190" s="54"/>
      <c r="H190" s="86"/>
      <c r="I190" s="51"/>
      <c r="J190" s="51"/>
      <c r="K190" s="58"/>
      <c r="L190" s="59"/>
      <c r="M190" s="58"/>
      <c r="N190" s="58"/>
      <c r="O190" s="77"/>
      <c r="P190" s="112"/>
      <c r="Q190" s="37"/>
      <c r="R190" s="74"/>
      <c r="S190" s="74"/>
      <c r="T190" s="74"/>
      <c r="U190" s="114"/>
      <c r="V190" s="115"/>
      <c r="W190" s="116"/>
      <c r="X190" s="117"/>
      <c r="Y190" s="111"/>
      <c r="Z190" s="111"/>
    </row>
    <row r="191" spans="1:26">
      <c r="A191" s="54"/>
      <c r="B191" s="54"/>
      <c r="C191" s="51"/>
      <c r="D191" s="54"/>
      <c r="E191" s="51"/>
      <c r="F191" s="56"/>
      <c r="G191" s="54"/>
      <c r="H191" s="86"/>
      <c r="I191" s="51"/>
      <c r="J191" s="51"/>
      <c r="K191" s="58"/>
      <c r="L191" s="59"/>
      <c r="M191" s="58"/>
      <c r="N191" s="58"/>
      <c r="O191" s="77"/>
      <c r="P191" s="112"/>
      <c r="Q191" s="37"/>
      <c r="R191" s="74"/>
      <c r="S191" s="74"/>
      <c r="T191" s="74"/>
      <c r="U191" s="114"/>
      <c r="V191" s="115"/>
      <c r="W191" s="116"/>
      <c r="X191" s="117"/>
      <c r="Y191" s="111"/>
      <c r="Z191" s="111"/>
    </row>
    <row r="192" spans="1:26">
      <c r="A192" s="54"/>
      <c r="B192" s="54"/>
      <c r="C192" s="51"/>
      <c r="D192" s="54"/>
      <c r="E192" s="51"/>
      <c r="F192" s="56"/>
      <c r="G192" s="54"/>
      <c r="H192" s="86"/>
      <c r="I192" s="51"/>
      <c r="J192" s="51"/>
      <c r="K192" s="58"/>
      <c r="L192" s="59"/>
      <c r="M192" s="58"/>
      <c r="N192" s="58"/>
      <c r="O192" s="77"/>
      <c r="P192" s="112"/>
      <c r="Q192" s="37"/>
      <c r="R192" s="74"/>
      <c r="S192" s="74"/>
      <c r="T192" s="74"/>
      <c r="U192" s="114"/>
      <c r="V192" s="115"/>
      <c r="W192" s="116"/>
      <c r="X192" s="117"/>
      <c r="Y192" s="111"/>
      <c r="Z192" s="111"/>
    </row>
    <row r="193" spans="1:26">
      <c r="A193" s="54"/>
      <c r="B193" s="54"/>
      <c r="C193" s="51"/>
      <c r="D193" s="54"/>
      <c r="E193" s="51"/>
      <c r="F193" s="56"/>
      <c r="G193" s="54"/>
      <c r="H193" s="86"/>
      <c r="I193" s="51"/>
      <c r="J193" s="51"/>
      <c r="K193" s="58"/>
      <c r="L193" s="59"/>
      <c r="M193" s="58"/>
      <c r="N193" s="58"/>
      <c r="O193" s="77"/>
      <c r="P193" s="112"/>
      <c r="Q193" s="37"/>
      <c r="R193" s="74"/>
      <c r="S193" s="74"/>
      <c r="T193" s="74"/>
      <c r="U193" s="114"/>
      <c r="V193" s="115"/>
      <c r="W193" s="116"/>
      <c r="X193" s="117"/>
      <c r="Y193" s="111"/>
      <c r="Z193" s="111"/>
    </row>
    <row r="194" spans="1:26">
      <c r="A194" s="54"/>
      <c r="B194" s="54"/>
      <c r="C194" s="51"/>
      <c r="D194" s="54"/>
      <c r="E194" s="51"/>
      <c r="F194" s="56"/>
      <c r="G194" s="54"/>
      <c r="H194" s="86"/>
      <c r="I194" s="51"/>
      <c r="J194" s="51"/>
      <c r="K194" s="58"/>
      <c r="L194" s="59"/>
      <c r="M194" s="58"/>
      <c r="N194" s="58"/>
      <c r="O194" s="77"/>
      <c r="P194" s="112"/>
      <c r="Q194" s="37"/>
      <c r="R194" s="74"/>
      <c r="S194" s="74"/>
      <c r="T194" s="74"/>
      <c r="U194" s="114"/>
      <c r="V194" s="115"/>
      <c r="W194" s="116"/>
      <c r="X194" s="117"/>
      <c r="Y194" s="111"/>
      <c r="Z194" s="111"/>
    </row>
    <row r="195" spans="1:26">
      <c r="A195" s="54"/>
      <c r="B195" s="54"/>
      <c r="C195" s="51"/>
      <c r="D195" s="54"/>
      <c r="E195" s="51"/>
      <c r="F195" s="56"/>
      <c r="G195" s="54"/>
      <c r="H195" s="37"/>
      <c r="I195" s="51"/>
      <c r="J195" s="51"/>
      <c r="K195" s="58"/>
      <c r="L195" s="59"/>
      <c r="M195" s="58"/>
      <c r="N195" s="58"/>
      <c r="O195" s="77"/>
      <c r="P195" s="112"/>
      <c r="Q195" s="37"/>
      <c r="R195" s="74"/>
      <c r="S195" s="74"/>
      <c r="T195" s="74"/>
      <c r="U195" s="114"/>
      <c r="V195" s="115"/>
      <c r="W195" s="116"/>
      <c r="X195" s="117"/>
      <c r="Y195" s="111"/>
      <c r="Z195" s="111"/>
    </row>
    <row r="196" spans="1:26">
      <c r="A196" s="54"/>
      <c r="B196" s="54"/>
      <c r="C196" s="51"/>
      <c r="D196" s="54"/>
      <c r="E196" s="51"/>
      <c r="F196" s="56"/>
      <c r="G196" s="54"/>
      <c r="H196" s="37"/>
      <c r="I196" s="51"/>
      <c r="J196" s="51"/>
      <c r="K196" s="58"/>
      <c r="L196" s="59"/>
      <c r="M196" s="58"/>
      <c r="N196" s="58"/>
      <c r="O196" s="77"/>
      <c r="P196" s="112"/>
      <c r="Q196" s="37"/>
      <c r="R196" s="74"/>
      <c r="S196" s="74"/>
      <c r="T196" s="74"/>
      <c r="U196" s="114"/>
      <c r="V196" s="115"/>
      <c r="W196" s="116"/>
      <c r="X196" s="117"/>
      <c r="Y196" s="111"/>
      <c r="Z196" s="111"/>
    </row>
    <row r="197" spans="1:26">
      <c r="A197" s="54"/>
      <c r="B197" s="54"/>
      <c r="C197" s="51"/>
      <c r="D197" s="54"/>
      <c r="E197" s="51"/>
      <c r="F197" s="56"/>
      <c r="G197" s="54"/>
      <c r="H197" s="37"/>
      <c r="I197" s="51"/>
      <c r="J197" s="51"/>
      <c r="K197" s="58"/>
      <c r="L197" s="59"/>
      <c r="M197" s="58"/>
      <c r="N197" s="58"/>
      <c r="O197" s="77"/>
      <c r="P197" s="112"/>
      <c r="Q197" s="37"/>
      <c r="R197" s="74"/>
      <c r="S197" s="74"/>
      <c r="T197" s="74"/>
      <c r="U197" s="114"/>
      <c r="V197" s="115"/>
      <c r="W197" s="116"/>
      <c r="X197" s="117"/>
      <c r="Y197" s="111"/>
      <c r="Z197" s="111"/>
    </row>
    <row r="198" spans="1:26">
      <c r="A198" s="54"/>
      <c r="B198" s="54"/>
      <c r="C198" s="51"/>
      <c r="D198" s="54"/>
      <c r="E198" s="51"/>
      <c r="F198" s="56"/>
      <c r="G198" s="54"/>
      <c r="H198" s="86"/>
      <c r="I198" s="51"/>
      <c r="J198" s="51"/>
      <c r="K198" s="58"/>
      <c r="L198" s="59"/>
      <c r="M198" s="58"/>
      <c r="N198" s="58"/>
      <c r="O198" s="77"/>
      <c r="P198" s="112"/>
      <c r="Q198" s="37"/>
      <c r="R198" s="74"/>
      <c r="S198" s="74"/>
      <c r="T198" s="74"/>
      <c r="U198" s="114"/>
      <c r="V198" s="115"/>
      <c r="W198" s="116"/>
      <c r="X198" s="117"/>
      <c r="Y198" s="111"/>
      <c r="Z198" s="111"/>
    </row>
    <row r="199" spans="1:26">
      <c r="A199" s="54"/>
      <c r="B199" s="54"/>
      <c r="C199" s="51"/>
      <c r="D199" s="54"/>
      <c r="E199" s="51"/>
      <c r="F199" s="56"/>
      <c r="G199" s="54"/>
      <c r="H199" s="37"/>
      <c r="I199" s="51"/>
      <c r="J199" s="51"/>
      <c r="K199" s="58"/>
      <c r="L199" s="59"/>
      <c r="M199" s="58"/>
      <c r="N199" s="58"/>
      <c r="O199" s="77"/>
      <c r="P199" s="112"/>
      <c r="Q199" s="37"/>
      <c r="R199" s="74"/>
      <c r="S199" s="74"/>
      <c r="T199" s="74"/>
      <c r="U199" s="114"/>
      <c r="V199" s="115"/>
      <c r="W199" s="116"/>
      <c r="X199" s="117"/>
      <c r="Y199" s="111"/>
      <c r="Z199" s="111"/>
    </row>
  </sheetData>
  <autoFilter ref="A1:AK1" xr:uid="{AB4E34E4-B0DA-428C-B07E-1895D115D41D}"/>
  <dataValidations count="1">
    <dataValidation type="list" allowBlank="1" showErrorMessage="1" sqref="U2:U56 U93" xr:uid="{00000000-0002-0000-0700-000002000000}">
      <formula1>"Yes,No"</formula1>
    </dataValidation>
  </dataValidations>
  <hyperlinks>
    <hyperlink ref="F2" r:id="rId1" xr:uid="{00000000-0004-0000-0700-000000000000}"/>
    <hyperlink ref="F3" r:id="rId2" xr:uid="{00000000-0004-0000-0700-000001000000}"/>
    <hyperlink ref="F4" r:id="rId3" xr:uid="{00000000-0004-0000-0700-000002000000}"/>
    <hyperlink ref="F5" r:id="rId4" xr:uid="{00000000-0004-0000-0700-000003000000}"/>
    <hyperlink ref="F6" r:id="rId5" xr:uid="{00000000-0004-0000-0700-000004000000}"/>
    <hyperlink ref="F7" r:id="rId6" xr:uid="{00000000-0004-0000-0700-000005000000}"/>
    <hyperlink ref="F8" r:id="rId7" xr:uid="{00000000-0004-0000-0700-000006000000}"/>
    <hyperlink ref="F9" r:id="rId8" xr:uid="{00000000-0004-0000-0700-000007000000}"/>
    <hyperlink ref="F11" r:id="rId9" xr:uid="{00000000-0004-0000-0700-000008000000}"/>
    <hyperlink ref="F12" r:id="rId10" xr:uid="{00000000-0004-0000-0700-000009000000}"/>
    <hyperlink ref="F14" r:id="rId11" xr:uid="{00000000-0004-0000-0700-00000A000000}"/>
    <hyperlink ref="F15" r:id="rId12" xr:uid="{00000000-0004-0000-0700-00000B000000}"/>
    <hyperlink ref="F16" r:id="rId13" xr:uid="{00000000-0004-0000-0700-00000C000000}"/>
    <hyperlink ref="F17" r:id="rId14" xr:uid="{00000000-0004-0000-0700-00000D000000}"/>
    <hyperlink ref="F18" r:id="rId15" xr:uid="{00000000-0004-0000-0700-00000E000000}"/>
    <hyperlink ref="F19" r:id="rId16" xr:uid="{00000000-0004-0000-0700-00000F000000}"/>
    <hyperlink ref="F20" r:id="rId17" xr:uid="{00000000-0004-0000-0700-000010000000}"/>
    <hyperlink ref="F35" r:id="rId18" xr:uid="{00000000-0004-0000-0700-000011000000}"/>
    <hyperlink ref="F43" r:id="rId19" xr:uid="{00000000-0004-0000-0700-000012000000}"/>
    <hyperlink ref="F55" r:id="rId20" xr:uid="{00000000-0004-0000-0700-000013000000}"/>
    <hyperlink ref="F56" r:id="rId21" xr:uid="{00000000-0004-0000-0700-000014000000}"/>
    <hyperlink ref="F76" r:id="rId22" xr:uid="{00000000-0004-0000-0700-000015000000}"/>
    <hyperlink ref="F91" r:id="rId23" xr:uid="{00000000-0004-0000-0700-000016000000}"/>
    <hyperlink ref="F93" r:id="rId24" xr:uid="{00000000-0004-0000-0700-000017000000}"/>
    <hyperlink ref="F104" r:id="rId25" xr:uid="{00000000-0004-0000-0700-000018000000}"/>
  </hyperlinks>
  <pageMargins left="0.7" right="0.7" top="0.75" bottom="0.75" header="0.3" footer="0.3"/>
  <drawing r:id="rId26"/>
  <legacyDrawing r:id="rId27"/>
  <extLst>
    <ext xmlns:x14="http://schemas.microsoft.com/office/spreadsheetml/2009/9/main" uri="{CCE6A557-97BC-4b89-ADB6-D9C93CAAB3DF}">
      <x14:dataValidations xmlns:xm="http://schemas.microsoft.com/office/excel/2006/main" count="5">
        <x14:dataValidation type="list" allowBlank="1" xr:uid="{00000000-0002-0000-0700-000000000000}">
          <x14:formula1>
            <xm:f>Fields!$F$2:$F$4</xm:f>
          </x14:formula1>
          <xm:sqref>C2:C103 C114:C199</xm:sqref>
        </x14:dataValidation>
        <x14:dataValidation type="list" allowBlank="1" xr:uid="{00000000-0002-0000-0700-000001000000}">
          <x14:formula1>
            <xm:f>Fields!$F$2:$F$8</xm:f>
          </x14:formula1>
          <xm:sqref>C104:C113</xm:sqref>
        </x14:dataValidation>
        <x14:dataValidation type="list" allowBlank="1" xr:uid="{00000000-0002-0000-0700-000003000000}">
          <x14:formula1>
            <xm:f>Fields!$D$2:$D$10</xm:f>
          </x14:formula1>
          <xm:sqref>B104:B113</xm:sqref>
        </x14:dataValidation>
        <x14:dataValidation type="list" allowBlank="1" xr:uid="{00000000-0002-0000-0700-000004000000}">
          <x14:formula1>
            <xm:f>Fields!$D$2:$D$4</xm:f>
          </x14:formula1>
          <xm:sqref>B55:B103</xm:sqref>
        </x14:dataValidation>
        <x14:dataValidation type="list" allowBlank="1" xr:uid="{00000000-0002-0000-0700-000005000000}">
          <x14:formula1>
            <xm:f>Fields!$A$2:$A$8</xm:f>
          </x14:formula1>
          <xm:sqref>D55:D113</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N1059"/>
  <sheetViews>
    <sheetView workbookViewId="0">
      <pane ySplit="1" topLeftCell="A2" activePane="bottomLeft" state="frozen"/>
      <selection pane="bottomLeft" activeCell="B3" sqref="B3"/>
    </sheetView>
  </sheetViews>
  <sheetFormatPr defaultColWidth="12.5703125" defaultRowHeight="15" customHeight="1"/>
  <cols>
    <col min="1" max="1" width="5.140625" customWidth="1"/>
    <col min="2" max="2" width="6.28515625" customWidth="1"/>
    <col min="3" max="3" width="5.42578125" customWidth="1"/>
    <col min="4" max="4" width="11.28515625" customWidth="1"/>
    <col min="5" max="5" width="3.140625" customWidth="1"/>
    <col min="6" max="6" width="24.42578125" customWidth="1"/>
    <col min="7" max="7" width="24.85546875" customWidth="1"/>
    <col min="8" max="8" width="12.42578125" customWidth="1"/>
    <col min="9" max="10" width="7.42578125" customWidth="1"/>
    <col min="11" max="11" width="6.42578125" customWidth="1"/>
    <col min="12" max="12" width="8.42578125" customWidth="1"/>
    <col min="13" max="14" width="6.42578125" customWidth="1"/>
    <col min="15" max="16" width="7.42578125" customWidth="1"/>
    <col min="17" max="17" width="18.28515625" customWidth="1"/>
    <col min="18" max="18" width="5.7109375" customWidth="1"/>
    <col min="19" max="19" width="5.5703125" customWidth="1"/>
    <col min="20" max="20" width="6.5703125" customWidth="1"/>
    <col min="21" max="21" width="6.85546875" customWidth="1"/>
    <col min="22" max="22" width="7.7109375" customWidth="1"/>
    <col min="23" max="23" width="6.5703125" customWidth="1"/>
    <col min="24" max="24" width="7.5703125" customWidth="1"/>
    <col min="25" max="26" width="42.85546875" customWidth="1"/>
    <col min="27" max="33" width="11" customWidth="1"/>
    <col min="34" max="40" width="31.85546875" customWidth="1"/>
  </cols>
  <sheetData>
    <row r="1" spans="1:40" ht="45" customHeight="1">
      <c r="A1" s="31" t="s">
        <v>9</v>
      </c>
      <c r="B1" s="66" t="str">
        <f>HYPERLINK("#rangeid=2086300674","Content Owner")</f>
        <v>Content Owner</v>
      </c>
      <c r="C1" s="67" t="str">
        <f>HYPERLINK("#rangeid=632369931","Video Owner")</f>
        <v>Video Owner</v>
      </c>
      <c r="D1" s="36" t="s">
        <v>87</v>
      </c>
      <c r="E1" s="37" t="s">
        <v>221</v>
      </c>
      <c r="F1" s="38" t="s">
        <v>223</v>
      </c>
      <c r="G1" s="31" t="s">
        <v>230</v>
      </c>
      <c r="H1" s="68" t="str">
        <f>HYPERLINK("#rangeid=906849400","Description")</f>
        <v>Description</v>
      </c>
      <c r="I1" s="41" t="s">
        <v>233</v>
      </c>
      <c r="J1" s="31" t="s">
        <v>234</v>
      </c>
      <c r="K1" s="42" t="s">
        <v>235</v>
      </c>
      <c r="L1" s="31" t="s">
        <v>236</v>
      </c>
      <c r="M1" s="31" t="s">
        <v>237</v>
      </c>
      <c r="N1" s="31" t="s">
        <v>238</v>
      </c>
      <c r="O1" s="31" t="s">
        <v>239</v>
      </c>
      <c r="P1" s="31" t="s">
        <v>240</v>
      </c>
      <c r="Q1" s="31" t="s">
        <v>241</v>
      </c>
      <c r="R1" s="43" t="s">
        <v>242</v>
      </c>
      <c r="S1" s="43" t="s">
        <v>243</v>
      </c>
      <c r="T1" s="43" t="s">
        <v>89</v>
      </c>
      <c r="U1" s="44" t="s">
        <v>244</v>
      </c>
      <c r="V1" s="45" t="s">
        <v>245</v>
      </c>
      <c r="W1" s="46" t="str">
        <f>HYPERLINK("#rangeid=120001109","Replay")</f>
        <v>Replay</v>
      </c>
      <c r="X1" s="47" t="s">
        <v>246</v>
      </c>
      <c r="Y1" s="48" t="s">
        <v>247</v>
      </c>
      <c r="Z1" s="49" t="s">
        <v>248</v>
      </c>
      <c r="AA1" s="50"/>
      <c r="AB1" s="50"/>
      <c r="AC1" s="50"/>
      <c r="AD1" s="50"/>
      <c r="AE1" s="50"/>
      <c r="AF1" s="50"/>
      <c r="AG1" s="50"/>
      <c r="AH1" s="50"/>
      <c r="AI1" s="50"/>
      <c r="AJ1" s="50"/>
      <c r="AK1" s="50"/>
      <c r="AL1" s="50"/>
      <c r="AM1" s="50"/>
      <c r="AN1" s="50"/>
    </row>
    <row r="2" spans="1:40">
      <c r="A2" s="51">
        <v>20</v>
      </c>
      <c r="B2" s="51" t="s">
        <v>118</v>
      </c>
      <c r="C2" s="54"/>
      <c r="D2" s="51" t="s">
        <v>120</v>
      </c>
      <c r="E2" s="51" t="s">
        <v>290</v>
      </c>
      <c r="F2" s="55" t="s">
        <v>291</v>
      </c>
      <c r="G2" s="56"/>
      <c r="H2" s="57"/>
      <c r="I2" s="51"/>
      <c r="J2" s="51">
        <f>8.5*1000</f>
        <v>8500</v>
      </c>
      <c r="K2" s="58">
        <v>7.1874999999999994E-3</v>
      </c>
      <c r="L2" s="59" t="s">
        <v>251</v>
      </c>
      <c r="M2" s="58"/>
      <c r="N2" s="58"/>
      <c r="O2" s="51"/>
      <c r="P2" s="60">
        <v>42990</v>
      </c>
      <c r="Q2" s="37" t="str">
        <f t="shared" ref="Q2:Q82" ca="1" si="0">HYPERLINK(IF(INT(A2)-A2=0,"",REPLACE(INDIRECT("MasterList!e"&amp;INT(A2)+1),25,8,"embed/")&amp;"?start="&amp;HOUR(M2)*3600+MINUTE(M2)*60+SECOND(M2)&amp;"&amp;end="&amp;HOUR(N2)*3600+MINUTE(N2)*60+SECOND(N2)&amp;"&amp;autoplay=1"))</f>
        <v/>
      </c>
      <c r="R2" s="70"/>
      <c r="S2" s="70"/>
      <c r="T2" s="70"/>
      <c r="U2" s="71"/>
      <c r="V2" s="73"/>
      <c r="W2" s="75"/>
      <c r="X2" s="64"/>
      <c r="Y2" s="51"/>
      <c r="Z2" s="51"/>
      <c r="AH2" s="51"/>
      <c r="AI2" s="51"/>
      <c r="AJ2" s="51"/>
      <c r="AK2" s="51"/>
      <c r="AL2" s="51"/>
      <c r="AM2" s="51"/>
      <c r="AN2" s="51"/>
    </row>
    <row r="3" spans="1:40">
      <c r="A3" s="51">
        <v>20.010000000000002</v>
      </c>
      <c r="B3" s="51" t="s">
        <v>118</v>
      </c>
      <c r="C3" s="54"/>
      <c r="D3" s="51" t="s">
        <v>120</v>
      </c>
      <c r="E3" s="51"/>
      <c r="F3" s="55"/>
      <c r="G3" s="56" t="s">
        <v>368</v>
      </c>
      <c r="H3" s="76" t="s">
        <v>369</v>
      </c>
      <c r="I3" s="51"/>
      <c r="J3" s="51"/>
      <c r="K3" s="58"/>
      <c r="L3" s="59"/>
      <c r="M3" s="58">
        <v>5.7870370370370378E-4</v>
      </c>
      <c r="N3" s="58">
        <v>3.2407407407407406E-3</v>
      </c>
      <c r="O3" s="58">
        <f t="shared" ref="O3:O5" si="1">N3-M3</f>
        <v>2.662037037037037E-3</v>
      </c>
      <c r="P3" s="60">
        <v>42990</v>
      </c>
      <c r="Q3" s="79" t="str">
        <f t="shared" ca="1" si="0"/>
        <v>https://www.youtube.com/embed/_IcfDP-ezpo?start=50&amp;end=280&amp;autoplay=1</v>
      </c>
      <c r="R3" s="70" t="s">
        <v>94</v>
      </c>
      <c r="S3" s="70" t="s">
        <v>117</v>
      </c>
      <c r="T3" s="70" t="s">
        <v>94</v>
      </c>
      <c r="U3" s="71"/>
      <c r="V3" s="73"/>
      <c r="W3" s="75" t="s">
        <v>292</v>
      </c>
      <c r="X3" s="64"/>
      <c r="Y3" s="51"/>
      <c r="Z3" s="51"/>
      <c r="AH3" s="51"/>
      <c r="AI3" s="51"/>
      <c r="AJ3" s="51"/>
      <c r="AK3" s="51"/>
      <c r="AL3" s="51"/>
      <c r="AM3" s="51"/>
      <c r="AN3" s="51"/>
    </row>
    <row r="4" spans="1:40">
      <c r="A4" s="51">
        <v>20.02</v>
      </c>
      <c r="B4" s="51" t="s">
        <v>118</v>
      </c>
      <c r="C4" s="54"/>
      <c r="D4" s="51" t="s">
        <v>120</v>
      </c>
      <c r="E4" s="51"/>
      <c r="F4" s="55"/>
      <c r="G4" s="56" t="s">
        <v>370</v>
      </c>
      <c r="H4" s="57" t="s">
        <v>372</v>
      </c>
      <c r="I4" s="51"/>
      <c r="J4" s="51"/>
      <c r="K4" s="58"/>
      <c r="L4" s="59"/>
      <c r="M4" s="58">
        <v>3.2407407407407406E-3</v>
      </c>
      <c r="N4" s="58">
        <v>5.7754629629629623E-3</v>
      </c>
      <c r="O4" s="58">
        <f t="shared" si="1"/>
        <v>2.5347222222222216E-3</v>
      </c>
      <c r="P4" s="60">
        <v>42990</v>
      </c>
      <c r="Q4" s="79" t="str">
        <f t="shared" ca="1" si="0"/>
        <v>https://www.youtube.com/embed/_IcfDP-ezpo?start=280&amp;end=499&amp;autoplay=1</v>
      </c>
      <c r="R4" s="70" t="s">
        <v>94</v>
      </c>
      <c r="S4" s="70" t="s">
        <v>117</v>
      </c>
      <c r="T4" s="70" t="s">
        <v>94</v>
      </c>
      <c r="U4" s="71"/>
      <c r="V4" s="73"/>
      <c r="W4" s="75" t="s">
        <v>292</v>
      </c>
      <c r="X4" s="64"/>
      <c r="Y4" s="51"/>
      <c r="Z4" s="51"/>
      <c r="AH4" s="51"/>
      <c r="AI4" s="51"/>
      <c r="AJ4" s="51"/>
      <c r="AK4" s="51"/>
      <c r="AL4" s="51"/>
      <c r="AM4" s="51"/>
      <c r="AN4" s="51"/>
    </row>
    <row r="5" spans="1:40">
      <c r="A5" s="51">
        <v>20.03</v>
      </c>
      <c r="B5" s="51" t="s">
        <v>118</v>
      </c>
      <c r="C5" s="54"/>
      <c r="D5" s="51" t="s">
        <v>120</v>
      </c>
      <c r="E5" s="51"/>
      <c r="F5" s="55"/>
      <c r="G5" s="56" t="s">
        <v>374</v>
      </c>
      <c r="H5" s="57" t="s">
        <v>376</v>
      </c>
      <c r="I5" s="51"/>
      <c r="J5" s="51"/>
      <c r="K5" s="58"/>
      <c r="L5" s="59"/>
      <c r="M5" s="58">
        <v>5.7754629629629623E-3</v>
      </c>
      <c r="N5" s="58">
        <v>7.1759259259259259E-3</v>
      </c>
      <c r="O5" s="58">
        <f t="shared" si="1"/>
        <v>1.4004629629629636E-3</v>
      </c>
      <c r="P5" s="60">
        <v>42990</v>
      </c>
      <c r="Q5" s="79" t="str">
        <f t="shared" ca="1" si="0"/>
        <v>https://www.youtube.com/embed/_IcfDP-ezpo?start=499&amp;end=620&amp;autoplay=1</v>
      </c>
      <c r="R5" s="70" t="s">
        <v>94</v>
      </c>
      <c r="S5" s="70" t="s">
        <v>117</v>
      </c>
      <c r="T5" s="70" t="s">
        <v>94</v>
      </c>
      <c r="U5" s="71"/>
      <c r="V5" s="73"/>
      <c r="W5" s="75" t="s">
        <v>292</v>
      </c>
      <c r="X5" s="64"/>
      <c r="Y5" s="51"/>
      <c r="Z5" s="51"/>
      <c r="AH5" s="51"/>
      <c r="AI5" s="51"/>
      <c r="AJ5" s="51"/>
      <c r="AK5" s="51"/>
      <c r="AL5" s="51"/>
      <c r="AM5" s="51"/>
      <c r="AN5" s="51"/>
    </row>
    <row r="6" spans="1:40">
      <c r="A6" s="51">
        <v>22</v>
      </c>
      <c r="B6" s="51" t="s">
        <v>118</v>
      </c>
      <c r="C6" s="54"/>
      <c r="D6" s="51" t="s">
        <v>120</v>
      </c>
      <c r="E6" s="51" t="s">
        <v>297</v>
      </c>
      <c r="F6" s="55" t="s">
        <v>298</v>
      </c>
      <c r="G6" s="56"/>
      <c r="H6" s="57"/>
      <c r="I6" s="51"/>
      <c r="J6" s="51">
        <f>4.9*1000</f>
        <v>4900</v>
      </c>
      <c r="K6" s="58">
        <v>9.2939814814814812E-3</v>
      </c>
      <c r="L6" s="59" t="s">
        <v>251</v>
      </c>
      <c r="M6" s="58"/>
      <c r="N6" s="58"/>
      <c r="O6" s="51"/>
      <c r="P6" s="60">
        <v>42990</v>
      </c>
      <c r="Q6" s="37" t="str">
        <f t="shared" ca="1" si="0"/>
        <v/>
      </c>
      <c r="R6" s="70"/>
      <c r="S6" s="70"/>
      <c r="T6" s="70"/>
      <c r="U6" s="71"/>
      <c r="V6" s="73"/>
      <c r="W6" s="75"/>
      <c r="X6" s="64"/>
      <c r="Y6" s="51"/>
      <c r="Z6" s="51"/>
      <c r="AH6" s="51"/>
      <c r="AI6" s="51"/>
      <c r="AJ6" s="51"/>
      <c r="AK6" s="51"/>
      <c r="AL6" s="51"/>
      <c r="AM6" s="51"/>
      <c r="AN6" s="51"/>
    </row>
    <row r="7" spans="1:40">
      <c r="A7" s="51">
        <v>22.01</v>
      </c>
      <c r="B7" s="51" t="s">
        <v>118</v>
      </c>
      <c r="C7" s="54"/>
      <c r="D7" s="51" t="s">
        <v>120</v>
      </c>
      <c r="E7" s="51"/>
      <c r="F7" s="55"/>
      <c r="G7" s="65" t="s">
        <v>390</v>
      </c>
      <c r="H7" s="57" t="s">
        <v>391</v>
      </c>
      <c r="I7" s="51"/>
      <c r="J7" s="51"/>
      <c r="K7" s="58"/>
      <c r="L7" s="59"/>
      <c r="M7" s="58">
        <v>0</v>
      </c>
      <c r="N7" s="58">
        <v>1.1805555555555556E-3</v>
      </c>
      <c r="O7" s="58">
        <f t="shared" ref="O7:O12" si="2">N7-M7</f>
        <v>1.1805555555555556E-3</v>
      </c>
      <c r="P7" s="60">
        <v>42990</v>
      </c>
      <c r="Q7" s="79" t="str">
        <f t="shared" ca="1" si="0"/>
        <v>https://www.youtube.com/embed/Uq2PJjcHiqI?start=0&amp;end=102&amp;autoplay=1</v>
      </c>
      <c r="R7" s="70" t="s">
        <v>94</v>
      </c>
      <c r="S7" s="70" t="s">
        <v>117</v>
      </c>
      <c r="T7" s="70" t="s">
        <v>94</v>
      </c>
      <c r="U7" s="71"/>
      <c r="V7" s="73"/>
      <c r="W7" s="75" t="s">
        <v>292</v>
      </c>
      <c r="X7" s="64"/>
      <c r="Y7" s="51"/>
      <c r="Z7" s="51"/>
      <c r="AH7" s="51"/>
      <c r="AI7" s="51"/>
      <c r="AJ7" s="51"/>
      <c r="AK7" s="51"/>
      <c r="AL7" s="51"/>
      <c r="AM7" s="51"/>
      <c r="AN7" s="51"/>
    </row>
    <row r="8" spans="1:40">
      <c r="A8" s="51">
        <v>22.02</v>
      </c>
      <c r="B8" s="51" t="s">
        <v>118</v>
      </c>
      <c r="C8" s="54"/>
      <c r="D8" s="51" t="s">
        <v>120</v>
      </c>
      <c r="E8" s="51"/>
      <c r="F8" s="55"/>
      <c r="G8" s="56" t="s">
        <v>400</v>
      </c>
      <c r="H8" s="57" t="s">
        <v>401</v>
      </c>
      <c r="I8" s="51"/>
      <c r="J8" s="51"/>
      <c r="K8" s="58"/>
      <c r="L8" s="59"/>
      <c r="M8" s="58">
        <v>1.1805555555555556E-3</v>
      </c>
      <c r="N8" s="58">
        <v>3.1018518518518522E-3</v>
      </c>
      <c r="O8" s="58">
        <f t="shared" si="2"/>
        <v>1.9212962962962966E-3</v>
      </c>
      <c r="P8" s="60">
        <v>42990</v>
      </c>
      <c r="Q8" s="79" t="str">
        <f t="shared" ca="1" si="0"/>
        <v>https://www.youtube.com/embed/Uq2PJjcHiqI?start=102&amp;end=268&amp;autoplay=1</v>
      </c>
      <c r="R8" s="70" t="s">
        <v>94</v>
      </c>
      <c r="S8" s="70" t="s">
        <v>117</v>
      </c>
      <c r="T8" s="70" t="s">
        <v>94</v>
      </c>
      <c r="U8" s="71"/>
      <c r="V8" s="73"/>
      <c r="W8" s="75" t="s">
        <v>292</v>
      </c>
      <c r="X8" s="64"/>
      <c r="Y8" s="51"/>
      <c r="Z8" s="51"/>
      <c r="AH8" s="51"/>
      <c r="AI8" s="51"/>
      <c r="AJ8" s="51"/>
      <c r="AK8" s="51"/>
      <c r="AL8" s="51"/>
      <c r="AM8" s="51"/>
      <c r="AN8" s="51"/>
    </row>
    <row r="9" spans="1:40">
      <c r="A9" s="51">
        <v>22.03</v>
      </c>
      <c r="B9" s="51" t="s">
        <v>118</v>
      </c>
      <c r="C9" s="54"/>
      <c r="D9" s="51" t="s">
        <v>120</v>
      </c>
      <c r="E9" s="51"/>
      <c r="F9" s="55"/>
      <c r="G9" s="56" t="s">
        <v>406</v>
      </c>
      <c r="H9" s="76" t="s">
        <v>407</v>
      </c>
      <c r="I9" s="51"/>
      <c r="J9" s="51"/>
      <c r="K9" s="58"/>
      <c r="L9" s="59"/>
      <c r="M9" s="58">
        <v>3.1018518518518522E-3</v>
      </c>
      <c r="N9" s="58">
        <v>4.6412037037037038E-3</v>
      </c>
      <c r="O9" s="58">
        <f t="shared" si="2"/>
        <v>1.5393518518518516E-3</v>
      </c>
      <c r="P9" s="60">
        <v>42990</v>
      </c>
      <c r="Q9" s="79" t="str">
        <f t="shared" ca="1" si="0"/>
        <v>https://www.youtube.com/embed/Uq2PJjcHiqI?start=268&amp;end=401&amp;autoplay=1</v>
      </c>
      <c r="R9" s="70" t="s">
        <v>94</v>
      </c>
      <c r="S9" s="70" t="s">
        <v>117</v>
      </c>
      <c r="T9" s="70" t="s">
        <v>94</v>
      </c>
      <c r="U9" s="71"/>
      <c r="V9" s="73"/>
      <c r="W9" s="75" t="s">
        <v>292</v>
      </c>
      <c r="X9" s="64"/>
      <c r="Y9" s="51"/>
      <c r="Z9" s="51" t="s">
        <v>414</v>
      </c>
      <c r="AH9" s="51"/>
      <c r="AI9" s="51"/>
      <c r="AJ9" s="51"/>
      <c r="AK9" s="51"/>
      <c r="AL9" s="51"/>
      <c r="AM9" s="51"/>
      <c r="AN9" s="51"/>
    </row>
    <row r="10" spans="1:40">
      <c r="A10" s="54">
        <v>22.04</v>
      </c>
      <c r="B10" s="51" t="s">
        <v>118</v>
      </c>
      <c r="C10" s="54"/>
      <c r="D10" s="51" t="s">
        <v>120</v>
      </c>
      <c r="E10" s="51"/>
      <c r="F10" s="55"/>
      <c r="G10" s="56" t="s">
        <v>416</v>
      </c>
      <c r="H10" s="57" t="s">
        <v>417</v>
      </c>
      <c r="I10" s="51"/>
      <c r="J10" s="51"/>
      <c r="K10" s="58"/>
      <c r="L10" s="59"/>
      <c r="M10" s="58">
        <v>4.6412037037037038E-3</v>
      </c>
      <c r="N10" s="58">
        <v>7.2106481481481475E-3</v>
      </c>
      <c r="O10" s="77">
        <f t="shared" si="2"/>
        <v>2.5694444444444436E-3</v>
      </c>
      <c r="P10" s="60">
        <v>42990</v>
      </c>
      <c r="Q10" s="79" t="str">
        <f t="shared" ca="1" si="0"/>
        <v>https://www.youtube.com/embed/Uq2PJjcHiqI?start=401&amp;end=623&amp;autoplay=1</v>
      </c>
      <c r="R10" s="70" t="s">
        <v>94</v>
      </c>
      <c r="S10" s="70" t="s">
        <v>117</v>
      </c>
      <c r="T10" s="70" t="s">
        <v>94</v>
      </c>
      <c r="U10" s="71"/>
      <c r="V10" s="73"/>
      <c r="W10" s="75" t="s">
        <v>292</v>
      </c>
      <c r="X10" s="64"/>
      <c r="Y10" s="51"/>
      <c r="Z10" s="51"/>
      <c r="AH10" s="51"/>
      <c r="AI10" s="51"/>
      <c r="AJ10" s="51"/>
      <c r="AK10" s="51"/>
      <c r="AL10" s="51"/>
      <c r="AM10" s="51"/>
      <c r="AN10" s="51"/>
    </row>
    <row r="11" spans="1:40">
      <c r="A11" s="51">
        <v>22.05</v>
      </c>
      <c r="B11" s="51" t="s">
        <v>118</v>
      </c>
      <c r="C11" s="54"/>
      <c r="D11" s="51" t="s">
        <v>120</v>
      </c>
      <c r="E11" s="51"/>
      <c r="F11" s="55"/>
      <c r="G11" s="56" t="s">
        <v>421</v>
      </c>
      <c r="H11" s="57" t="s">
        <v>422</v>
      </c>
      <c r="I11" s="51"/>
      <c r="J11" s="51"/>
      <c r="K11" s="58"/>
      <c r="L11" s="59"/>
      <c r="M11" s="58">
        <v>7.2106481481481475E-3</v>
      </c>
      <c r="N11" s="58">
        <v>7.6736111111111111E-3</v>
      </c>
      <c r="O11" s="58">
        <f t="shared" si="2"/>
        <v>4.6296296296296363E-4</v>
      </c>
      <c r="P11" s="60">
        <v>42990</v>
      </c>
      <c r="Q11" s="79" t="str">
        <f t="shared" ca="1" si="0"/>
        <v>https://www.youtube.com/embed/Uq2PJjcHiqI?start=623&amp;end=663&amp;autoplay=1</v>
      </c>
      <c r="R11" s="70" t="s">
        <v>94</v>
      </c>
      <c r="S11" s="70" t="s">
        <v>117</v>
      </c>
      <c r="T11" s="70" t="s">
        <v>94</v>
      </c>
      <c r="U11" s="71"/>
      <c r="V11" s="73"/>
      <c r="W11" s="75" t="s">
        <v>292</v>
      </c>
      <c r="X11" s="64"/>
      <c r="Y11" s="51"/>
      <c r="Z11" s="51" t="s">
        <v>423</v>
      </c>
      <c r="AH11" s="51"/>
      <c r="AI11" s="51"/>
      <c r="AJ11" s="51"/>
      <c r="AK11" s="51"/>
      <c r="AL11" s="51"/>
      <c r="AM11" s="51"/>
      <c r="AN11" s="51"/>
    </row>
    <row r="12" spans="1:40">
      <c r="A12" s="51">
        <v>22.06</v>
      </c>
      <c r="B12" s="51" t="s">
        <v>118</v>
      </c>
      <c r="C12" s="54"/>
      <c r="D12" s="51" t="s">
        <v>120</v>
      </c>
      <c r="E12" s="51"/>
      <c r="F12" s="55"/>
      <c r="G12" s="56" t="s">
        <v>426</v>
      </c>
      <c r="H12" s="57" t="s">
        <v>427</v>
      </c>
      <c r="I12" s="51"/>
      <c r="J12" s="51"/>
      <c r="K12" s="58"/>
      <c r="L12" s="59"/>
      <c r="M12" s="58">
        <v>7.6851851851851855E-3</v>
      </c>
      <c r="N12" s="58">
        <v>9.2824074074074076E-3</v>
      </c>
      <c r="O12" s="58">
        <f t="shared" si="2"/>
        <v>1.5972222222222221E-3</v>
      </c>
      <c r="P12" s="60">
        <v>42990</v>
      </c>
      <c r="Q12" s="79" t="str">
        <f t="shared" ca="1" si="0"/>
        <v>https://www.youtube.com/embed/Uq2PJjcHiqI?start=664&amp;end=802&amp;autoplay=1</v>
      </c>
      <c r="R12" s="70" t="s">
        <v>94</v>
      </c>
      <c r="S12" s="70" t="s">
        <v>117</v>
      </c>
      <c r="T12" s="70" t="s">
        <v>94</v>
      </c>
      <c r="U12" s="71"/>
      <c r="V12" s="73"/>
      <c r="W12" s="75" t="s">
        <v>292</v>
      </c>
      <c r="X12" s="64"/>
      <c r="Y12" s="51"/>
      <c r="Z12" s="51"/>
      <c r="AH12" s="51"/>
      <c r="AI12" s="51"/>
      <c r="AJ12" s="51"/>
      <c r="AK12" s="51"/>
      <c r="AL12" s="51"/>
      <c r="AM12" s="51"/>
      <c r="AN12" s="51"/>
    </row>
    <row r="13" spans="1:40">
      <c r="A13" s="54">
        <v>23</v>
      </c>
      <c r="B13" s="51" t="s">
        <v>118</v>
      </c>
      <c r="C13" s="54"/>
      <c r="D13" s="51" t="s">
        <v>120</v>
      </c>
      <c r="E13" s="51" t="s">
        <v>301</v>
      </c>
      <c r="F13" s="55" t="s">
        <v>302</v>
      </c>
      <c r="G13" s="56"/>
      <c r="H13" s="57"/>
      <c r="I13" s="51"/>
      <c r="J13" s="51">
        <f>3.6*1000</f>
        <v>3600</v>
      </c>
      <c r="K13" s="58">
        <v>7.4768518518518526E-3</v>
      </c>
      <c r="L13" s="59" t="s">
        <v>251</v>
      </c>
      <c r="M13" s="58"/>
      <c r="N13" s="58"/>
      <c r="O13" s="77"/>
      <c r="P13" s="60">
        <v>42991</v>
      </c>
      <c r="Q13" s="37" t="str">
        <f t="shared" ca="1" si="0"/>
        <v/>
      </c>
      <c r="R13" s="70"/>
      <c r="S13" s="70"/>
      <c r="T13" s="70"/>
      <c r="U13" s="71"/>
      <c r="V13" s="73"/>
      <c r="W13" s="75"/>
      <c r="X13" s="64"/>
      <c r="Y13" s="51"/>
      <c r="Z13" s="51"/>
      <c r="AH13" s="51"/>
      <c r="AI13" s="51"/>
      <c r="AJ13" s="51"/>
      <c r="AK13" s="51"/>
      <c r="AL13" s="51"/>
      <c r="AM13" s="51"/>
      <c r="AN13" s="51"/>
    </row>
    <row r="14" spans="1:40">
      <c r="A14" s="51">
        <v>23.01</v>
      </c>
      <c r="B14" s="51" t="s">
        <v>118</v>
      </c>
      <c r="C14" s="54"/>
      <c r="D14" s="51" t="s">
        <v>120</v>
      </c>
      <c r="E14" s="51"/>
      <c r="F14" s="55"/>
      <c r="G14" s="80" t="s">
        <v>437</v>
      </c>
      <c r="H14" s="76" t="s">
        <v>438</v>
      </c>
      <c r="I14" s="51"/>
      <c r="J14" s="51"/>
      <c r="K14" s="58"/>
      <c r="L14" s="59"/>
      <c r="M14" s="58">
        <v>0</v>
      </c>
      <c r="N14" s="58">
        <v>1.5162037037037036E-3</v>
      </c>
      <c r="O14" s="58">
        <f t="shared" ref="O14:O16" si="3">N14-M14</f>
        <v>1.5162037037037036E-3</v>
      </c>
      <c r="P14" s="60">
        <v>42991</v>
      </c>
      <c r="Q14" s="79" t="str">
        <f t="shared" ca="1" si="0"/>
        <v>https://www.youtube.com/embed/5LJPOCxc3E8?start=0&amp;end=131&amp;autoplay=1</v>
      </c>
      <c r="R14" s="70" t="s">
        <v>94</v>
      </c>
      <c r="S14" s="70" t="s">
        <v>117</v>
      </c>
      <c r="T14" s="70" t="s">
        <v>94</v>
      </c>
      <c r="U14" s="71"/>
      <c r="V14" s="73"/>
      <c r="W14" s="75" t="s">
        <v>292</v>
      </c>
      <c r="X14" s="64"/>
      <c r="Y14" s="51"/>
      <c r="Z14" s="51"/>
      <c r="AH14" s="51"/>
      <c r="AI14" s="51"/>
      <c r="AJ14" s="51"/>
      <c r="AK14" s="51"/>
      <c r="AL14" s="51"/>
      <c r="AM14" s="51"/>
      <c r="AN14" s="51"/>
    </row>
    <row r="15" spans="1:40">
      <c r="A15" s="51">
        <v>23.02</v>
      </c>
      <c r="B15" s="51" t="s">
        <v>118</v>
      </c>
      <c r="C15" s="54"/>
      <c r="D15" s="51" t="s">
        <v>120</v>
      </c>
      <c r="E15" s="51"/>
      <c r="F15" s="55"/>
      <c r="G15" s="57" t="s">
        <v>448</v>
      </c>
      <c r="H15" s="56" t="s">
        <v>450</v>
      </c>
      <c r="I15" s="56"/>
      <c r="J15" s="56"/>
      <c r="K15" s="58"/>
      <c r="L15" s="59"/>
      <c r="M15" s="58">
        <v>1.5162037037037036E-3</v>
      </c>
      <c r="N15" s="58">
        <v>4.0856481481481481E-3</v>
      </c>
      <c r="O15" s="58">
        <f t="shared" si="3"/>
        <v>2.5694444444444445E-3</v>
      </c>
      <c r="P15" s="60">
        <v>42991</v>
      </c>
      <c r="Q15" s="79" t="str">
        <f t="shared" ca="1" si="0"/>
        <v>https://www.youtube.com/embed/5LJPOCxc3E8?start=131&amp;end=353&amp;autoplay=1</v>
      </c>
      <c r="R15" s="70" t="s">
        <v>94</v>
      </c>
      <c r="S15" s="70" t="s">
        <v>117</v>
      </c>
      <c r="T15" s="70" t="s">
        <v>94</v>
      </c>
      <c r="U15" s="71"/>
      <c r="V15" s="73"/>
      <c r="W15" s="75" t="s">
        <v>292</v>
      </c>
      <c r="X15" s="64"/>
      <c r="Y15" s="51"/>
      <c r="Z15" s="51"/>
      <c r="AH15" s="51"/>
      <c r="AI15" s="51"/>
      <c r="AJ15" s="51"/>
      <c r="AK15" s="51"/>
      <c r="AL15" s="51"/>
      <c r="AM15" s="51"/>
      <c r="AN15" s="51"/>
    </row>
    <row r="16" spans="1:40">
      <c r="A16" s="51">
        <v>23.03</v>
      </c>
      <c r="B16" s="51" t="s">
        <v>118</v>
      </c>
      <c r="C16" s="54"/>
      <c r="D16" s="51" t="s">
        <v>120</v>
      </c>
      <c r="E16" s="51"/>
      <c r="F16" s="55"/>
      <c r="G16" s="51" t="s">
        <v>455</v>
      </c>
      <c r="H16" s="57" t="s">
        <v>456</v>
      </c>
      <c r="I16" s="51"/>
      <c r="J16" s="51"/>
      <c r="K16" s="58"/>
      <c r="L16" s="59"/>
      <c r="M16" s="58">
        <v>4.1435185185185186E-3</v>
      </c>
      <c r="N16" s="58">
        <v>7.3958333333333341E-3</v>
      </c>
      <c r="O16" s="58">
        <f t="shared" si="3"/>
        <v>3.2523148148148155E-3</v>
      </c>
      <c r="P16" s="60">
        <v>42991</v>
      </c>
      <c r="Q16" s="79" t="str">
        <f t="shared" ca="1" si="0"/>
        <v>https://www.youtube.com/embed/5LJPOCxc3E8?start=358&amp;end=639&amp;autoplay=1</v>
      </c>
      <c r="R16" s="70" t="s">
        <v>94</v>
      </c>
      <c r="S16" s="70" t="s">
        <v>117</v>
      </c>
      <c r="T16" s="70" t="s">
        <v>94</v>
      </c>
      <c r="U16" s="71"/>
      <c r="V16" s="73"/>
      <c r="W16" s="75" t="s">
        <v>292</v>
      </c>
      <c r="X16" s="64"/>
      <c r="Y16" s="51"/>
      <c r="Z16" s="51"/>
      <c r="AH16" s="51"/>
      <c r="AI16" s="51"/>
      <c r="AJ16" s="51"/>
      <c r="AK16" s="51"/>
      <c r="AL16" s="51"/>
      <c r="AM16" s="51"/>
      <c r="AN16" s="51"/>
    </row>
    <row r="17" spans="1:40">
      <c r="A17" s="51">
        <v>26</v>
      </c>
      <c r="B17" s="51" t="s">
        <v>118</v>
      </c>
      <c r="C17" s="54"/>
      <c r="D17" s="51" t="s">
        <v>120</v>
      </c>
      <c r="E17" s="51" t="s">
        <v>314</v>
      </c>
      <c r="F17" s="55" t="s">
        <v>315</v>
      </c>
      <c r="G17" s="56"/>
      <c r="H17" s="57"/>
      <c r="I17" s="51"/>
      <c r="J17" s="51">
        <f>14*1000</f>
        <v>14000</v>
      </c>
      <c r="K17" s="58">
        <v>7.4884259259259262E-3</v>
      </c>
      <c r="L17" s="59" t="s">
        <v>251</v>
      </c>
      <c r="M17" s="58"/>
      <c r="N17" s="58"/>
      <c r="O17" s="51"/>
      <c r="P17" s="60">
        <v>42991</v>
      </c>
      <c r="Q17" s="37" t="str">
        <f t="shared" ca="1" si="0"/>
        <v/>
      </c>
      <c r="R17" s="70"/>
      <c r="S17" s="70"/>
      <c r="T17" s="70"/>
      <c r="U17" s="71"/>
      <c r="V17" s="73"/>
      <c r="W17" s="75"/>
      <c r="X17" s="64"/>
      <c r="Y17" s="51"/>
      <c r="Z17" s="51"/>
      <c r="AH17" s="51"/>
      <c r="AI17" s="51"/>
      <c r="AJ17" s="51"/>
      <c r="AK17" s="51"/>
      <c r="AL17" s="51"/>
      <c r="AM17" s="51"/>
      <c r="AN17" s="51"/>
    </row>
    <row r="18" spans="1:40">
      <c r="A18" s="51">
        <v>26.01</v>
      </c>
      <c r="B18" s="51" t="s">
        <v>118</v>
      </c>
      <c r="C18" s="54"/>
      <c r="D18" s="51" t="s">
        <v>120</v>
      </c>
      <c r="E18" s="51"/>
      <c r="F18" s="55"/>
      <c r="G18" s="56" t="s">
        <v>400</v>
      </c>
      <c r="H18" s="57" t="s">
        <v>509</v>
      </c>
      <c r="I18" s="51"/>
      <c r="J18" s="51"/>
      <c r="K18" s="58"/>
      <c r="L18" s="59"/>
      <c r="M18" s="58">
        <v>9.2592592592592585E-4</v>
      </c>
      <c r="N18" s="58">
        <v>2.9861111111111113E-3</v>
      </c>
      <c r="O18" s="58">
        <f t="shared" ref="O18:O20" si="4">N18-M18</f>
        <v>2.0601851851851853E-3</v>
      </c>
      <c r="P18" s="60">
        <v>42991</v>
      </c>
      <c r="Q18" s="79" t="str">
        <f t="shared" ca="1" si="0"/>
        <v>https://www.youtube.com/embed/RdBz1kIwrqo?start=80&amp;end=258&amp;autoplay=1</v>
      </c>
      <c r="R18" s="70" t="s">
        <v>94</v>
      </c>
      <c r="S18" s="70" t="s">
        <v>117</v>
      </c>
      <c r="T18" s="70" t="s">
        <v>94</v>
      </c>
      <c r="U18" s="71"/>
      <c r="V18" s="73"/>
      <c r="W18" s="75" t="s">
        <v>304</v>
      </c>
      <c r="X18" s="64"/>
      <c r="Y18" s="51"/>
      <c r="Z18" s="51" t="s">
        <v>515</v>
      </c>
      <c r="AH18" s="51"/>
      <c r="AI18" s="51"/>
      <c r="AJ18" s="51"/>
      <c r="AK18" s="51"/>
      <c r="AL18" s="51"/>
      <c r="AM18" s="51"/>
      <c r="AN18" s="51"/>
    </row>
    <row r="19" spans="1:40">
      <c r="A19" s="51">
        <v>26.02</v>
      </c>
      <c r="B19" s="51" t="s">
        <v>118</v>
      </c>
      <c r="C19" s="54"/>
      <c r="D19" s="51" t="s">
        <v>120</v>
      </c>
      <c r="E19" s="51"/>
      <c r="F19" s="55"/>
      <c r="G19" s="56" t="s">
        <v>518</v>
      </c>
      <c r="H19" s="57" t="s">
        <v>519</v>
      </c>
      <c r="I19" s="51"/>
      <c r="J19" s="51"/>
      <c r="K19" s="58"/>
      <c r="L19" s="59"/>
      <c r="M19" s="58">
        <v>3.0787037037037037E-3</v>
      </c>
      <c r="N19" s="58">
        <v>4.6412037037037038E-3</v>
      </c>
      <c r="O19" s="58">
        <f t="shared" si="4"/>
        <v>1.5625000000000001E-3</v>
      </c>
      <c r="P19" s="60">
        <v>42991</v>
      </c>
      <c r="Q19" s="79" t="str">
        <f t="shared" ca="1" si="0"/>
        <v>https://www.youtube.com/embed/RdBz1kIwrqo?start=266&amp;end=401&amp;autoplay=1</v>
      </c>
      <c r="R19" s="70" t="s">
        <v>94</v>
      </c>
      <c r="S19" s="70" t="s">
        <v>117</v>
      </c>
      <c r="T19" s="70" t="s">
        <v>94</v>
      </c>
      <c r="U19" s="71"/>
      <c r="V19" s="73"/>
      <c r="W19" s="75" t="s">
        <v>304</v>
      </c>
      <c r="X19" s="64"/>
      <c r="Y19" s="51"/>
      <c r="Z19" s="51"/>
      <c r="AH19" s="51"/>
      <c r="AI19" s="51"/>
      <c r="AJ19" s="51"/>
      <c r="AK19" s="51"/>
      <c r="AL19" s="51"/>
      <c r="AM19" s="51"/>
      <c r="AN19" s="51"/>
    </row>
    <row r="20" spans="1:40">
      <c r="A20" s="51">
        <v>26.03</v>
      </c>
      <c r="B20" s="51" t="s">
        <v>118</v>
      </c>
      <c r="C20" s="54"/>
      <c r="D20" s="51" t="s">
        <v>120</v>
      </c>
      <c r="E20" s="51"/>
      <c r="F20" s="55"/>
      <c r="G20" s="56" t="s">
        <v>523</v>
      </c>
      <c r="H20" s="57" t="s">
        <v>524</v>
      </c>
      <c r="I20" s="51"/>
      <c r="J20" s="51"/>
      <c r="K20" s="58"/>
      <c r="L20" s="59"/>
      <c r="M20" s="58">
        <v>6.5162037037037037E-3</v>
      </c>
      <c r="N20" s="58">
        <v>7.4768518518518526E-3</v>
      </c>
      <c r="O20" s="58">
        <f t="shared" si="4"/>
        <v>9.6064814814814884E-4</v>
      </c>
      <c r="P20" s="51">
        <v>42991</v>
      </c>
      <c r="Q20" s="79" t="str">
        <f t="shared" ca="1" si="0"/>
        <v>https://www.youtube.com/embed/RdBz1kIwrqo?start=563&amp;end=646&amp;autoplay=1</v>
      </c>
      <c r="R20" s="70" t="s">
        <v>94</v>
      </c>
      <c r="S20" s="70" t="s">
        <v>117</v>
      </c>
      <c r="T20" s="70" t="s">
        <v>94</v>
      </c>
      <c r="U20" s="71"/>
      <c r="V20" s="73"/>
      <c r="W20" s="75" t="s">
        <v>304</v>
      </c>
      <c r="X20" s="64"/>
      <c r="Y20" s="51"/>
      <c r="Z20" s="51"/>
      <c r="AH20" s="54"/>
      <c r="AI20" s="54"/>
      <c r="AJ20" s="54"/>
      <c r="AK20" s="54"/>
      <c r="AL20" s="54"/>
      <c r="AM20" s="54"/>
      <c r="AN20" s="54"/>
    </row>
    <row r="21" spans="1:40">
      <c r="A21" s="51">
        <v>27</v>
      </c>
      <c r="B21" s="51" t="s">
        <v>118</v>
      </c>
      <c r="C21" s="54"/>
      <c r="D21" s="51" t="s">
        <v>120</v>
      </c>
      <c r="E21" s="51" t="s">
        <v>318</v>
      </c>
      <c r="F21" s="55" t="s">
        <v>319</v>
      </c>
      <c r="G21" s="56"/>
      <c r="H21" s="57"/>
      <c r="I21" s="51"/>
      <c r="J21" s="51">
        <f>15*1000</f>
        <v>15000</v>
      </c>
      <c r="K21" s="58">
        <v>3.2407407407407406E-3</v>
      </c>
      <c r="L21" s="59" t="s">
        <v>251</v>
      </c>
      <c r="M21" s="58"/>
      <c r="N21" s="58"/>
      <c r="O21" s="51"/>
      <c r="P21" s="51"/>
      <c r="Q21" s="37" t="str">
        <f t="shared" ca="1" si="0"/>
        <v/>
      </c>
      <c r="R21" s="70"/>
      <c r="S21" s="70"/>
      <c r="T21" s="70"/>
      <c r="U21" s="71"/>
      <c r="V21" s="73"/>
      <c r="W21" s="75"/>
      <c r="X21" s="64"/>
      <c r="Y21" s="51"/>
      <c r="Z21" s="51" t="s">
        <v>531</v>
      </c>
      <c r="AH21" s="51"/>
      <c r="AI21" s="51"/>
      <c r="AJ21" s="51"/>
      <c r="AK21" s="51"/>
      <c r="AL21" s="51"/>
      <c r="AM21" s="51"/>
      <c r="AN21" s="51"/>
    </row>
    <row r="22" spans="1:40">
      <c r="A22" s="51">
        <v>28</v>
      </c>
      <c r="B22" s="51" t="s">
        <v>118</v>
      </c>
      <c r="C22" s="51"/>
      <c r="D22" s="51" t="s">
        <v>120</v>
      </c>
      <c r="E22" s="51" t="s">
        <v>322</v>
      </c>
      <c r="F22" s="55" t="s">
        <v>323</v>
      </c>
      <c r="G22" s="56"/>
      <c r="H22" s="57"/>
      <c r="I22" s="51"/>
      <c r="J22" s="51">
        <f>9.3*1000</f>
        <v>9300</v>
      </c>
      <c r="K22" s="58">
        <v>8.0671296296296307E-3</v>
      </c>
      <c r="L22" s="59" t="s">
        <v>251</v>
      </c>
      <c r="M22" s="58"/>
      <c r="N22" s="58"/>
      <c r="O22" s="51"/>
      <c r="P22" s="51"/>
      <c r="Q22" s="37" t="str">
        <f t="shared" ca="1" si="0"/>
        <v/>
      </c>
      <c r="R22" s="70"/>
      <c r="S22" s="70"/>
      <c r="T22" s="70"/>
      <c r="U22" s="71"/>
      <c r="V22" s="73"/>
      <c r="W22" s="75"/>
      <c r="X22" s="64"/>
      <c r="Y22" s="51"/>
      <c r="Z22" s="51"/>
      <c r="AH22" s="51"/>
      <c r="AI22" s="51"/>
      <c r="AJ22" s="51"/>
      <c r="AK22" s="51"/>
      <c r="AL22" s="51"/>
      <c r="AM22" s="51"/>
      <c r="AN22" s="51"/>
    </row>
    <row r="23" spans="1:40">
      <c r="A23" s="51">
        <v>28.01</v>
      </c>
      <c r="B23" s="51" t="s">
        <v>118</v>
      </c>
      <c r="C23" s="54"/>
      <c r="D23" s="51" t="s">
        <v>120</v>
      </c>
      <c r="E23" s="51"/>
      <c r="F23" s="55"/>
      <c r="G23" s="56" t="s">
        <v>543</v>
      </c>
      <c r="H23" s="57" t="s">
        <v>544</v>
      </c>
      <c r="I23" s="51"/>
      <c r="J23" s="51"/>
      <c r="K23" s="58"/>
      <c r="L23" s="59"/>
      <c r="M23" s="58">
        <v>0</v>
      </c>
      <c r="N23" s="58">
        <v>8.7962962962962962E-4</v>
      </c>
      <c r="O23" s="58">
        <f t="shared" ref="O23:O26" si="5">N23-M23</f>
        <v>8.7962962962962962E-4</v>
      </c>
      <c r="P23" s="81">
        <v>42991</v>
      </c>
      <c r="Q23" s="79" t="str">
        <f t="shared" ca="1" si="0"/>
        <v>https://www.youtube.com/embed/N0PD3TuLvoo?start=0&amp;end=76&amp;autoplay=1</v>
      </c>
      <c r="R23" s="70" t="s">
        <v>94</v>
      </c>
      <c r="S23" s="70" t="s">
        <v>117</v>
      </c>
      <c r="T23" s="70" t="s">
        <v>94</v>
      </c>
      <c r="U23" s="71"/>
      <c r="V23" s="73"/>
      <c r="W23" s="75" t="s">
        <v>304</v>
      </c>
      <c r="X23" s="64"/>
      <c r="Y23" s="51"/>
      <c r="Z23" s="51"/>
      <c r="AA23" s="82"/>
      <c r="AB23" s="82"/>
      <c r="AC23" s="82"/>
      <c r="AD23" s="82"/>
      <c r="AE23" s="82"/>
      <c r="AF23" s="82"/>
      <c r="AG23" s="82"/>
      <c r="AH23" s="51"/>
      <c r="AI23" s="51"/>
      <c r="AJ23" s="51"/>
      <c r="AK23" s="51"/>
      <c r="AL23" s="51"/>
      <c r="AM23" s="51"/>
      <c r="AN23" s="51"/>
    </row>
    <row r="24" spans="1:40">
      <c r="A24" s="54">
        <v>28.02</v>
      </c>
      <c r="B24" s="51" t="s">
        <v>118</v>
      </c>
      <c r="C24" s="54"/>
      <c r="D24" s="51" t="s">
        <v>120</v>
      </c>
      <c r="E24" s="51"/>
      <c r="F24" s="55"/>
      <c r="G24" s="56" t="s">
        <v>550</v>
      </c>
      <c r="H24" s="76" t="s">
        <v>552</v>
      </c>
      <c r="I24" s="51"/>
      <c r="J24" s="51"/>
      <c r="K24" s="58"/>
      <c r="L24" s="59"/>
      <c r="M24" s="58">
        <v>8.9120370370370362E-4</v>
      </c>
      <c r="N24" s="58">
        <v>2.1296296296296298E-3</v>
      </c>
      <c r="O24" s="77">
        <f t="shared" si="5"/>
        <v>1.2384259259259262E-3</v>
      </c>
      <c r="P24" s="81">
        <v>42991</v>
      </c>
      <c r="Q24" s="79" t="str">
        <f t="shared" ca="1" si="0"/>
        <v>https://www.youtube.com/embed/N0PD3TuLvoo?start=77&amp;end=184&amp;autoplay=1</v>
      </c>
      <c r="R24" s="74" t="s">
        <v>94</v>
      </c>
      <c r="S24" s="74" t="s">
        <v>117</v>
      </c>
      <c r="T24" s="74" t="s">
        <v>94</v>
      </c>
      <c r="U24" s="71"/>
      <c r="V24" s="73"/>
      <c r="W24" s="75" t="s">
        <v>304</v>
      </c>
      <c r="X24" s="64"/>
      <c r="Y24" s="51"/>
      <c r="Z24" s="51" t="s">
        <v>554</v>
      </c>
      <c r="AA24" s="82"/>
      <c r="AB24" s="82"/>
      <c r="AC24" s="82"/>
      <c r="AD24" s="82"/>
      <c r="AE24" s="82"/>
      <c r="AF24" s="82"/>
      <c r="AG24" s="82"/>
      <c r="AH24" s="51"/>
      <c r="AI24" s="51"/>
      <c r="AJ24" s="51"/>
      <c r="AK24" s="51"/>
      <c r="AL24" s="51"/>
      <c r="AM24" s="51"/>
      <c r="AN24" s="51"/>
    </row>
    <row r="25" spans="1:40">
      <c r="A25" s="54">
        <v>28.03</v>
      </c>
      <c r="B25" s="51" t="s">
        <v>118</v>
      </c>
      <c r="C25" s="54"/>
      <c r="D25" s="51" t="s">
        <v>120</v>
      </c>
      <c r="E25" s="51"/>
      <c r="F25" s="55"/>
      <c r="G25" s="80" t="s">
        <v>557</v>
      </c>
      <c r="H25" s="56" t="s">
        <v>558</v>
      </c>
      <c r="I25" s="51"/>
      <c r="J25" s="51"/>
      <c r="K25" s="58"/>
      <c r="L25" s="59"/>
      <c r="M25" s="58">
        <v>2.2800925925925927E-3</v>
      </c>
      <c r="N25" s="58">
        <v>3.5185185185185185E-3</v>
      </c>
      <c r="O25" s="77">
        <f t="shared" si="5"/>
        <v>1.2384259259259258E-3</v>
      </c>
      <c r="P25" s="81">
        <v>42991</v>
      </c>
      <c r="Q25" s="79" t="str">
        <f t="shared" ca="1" si="0"/>
        <v>https://www.youtube.com/embed/N0PD3TuLvoo?start=197&amp;end=304&amp;autoplay=1</v>
      </c>
      <c r="R25" s="74" t="s">
        <v>94</v>
      </c>
      <c r="S25" s="74" t="s">
        <v>117</v>
      </c>
      <c r="T25" s="74" t="s">
        <v>94</v>
      </c>
      <c r="U25" s="71"/>
      <c r="V25" s="73"/>
      <c r="W25" s="75" t="s">
        <v>304</v>
      </c>
      <c r="X25" s="64"/>
      <c r="Y25" s="51"/>
      <c r="Z25" s="51" t="s">
        <v>554</v>
      </c>
      <c r="AA25" s="82"/>
      <c r="AB25" s="82"/>
      <c r="AC25" s="82"/>
      <c r="AD25" s="82"/>
      <c r="AE25" s="82"/>
      <c r="AF25" s="82"/>
      <c r="AG25" s="82"/>
      <c r="AH25" s="51"/>
      <c r="AI25" s="51"/>
      <c r="AJ25" s="51"/>
      <c r="AK25" s="51"/>
      <c r="AL25" s="51"/>
      <c r="AM25" s="51"/>
      <c r="AN25" s="51"/>
    </row>
    <row r="26" spans="1:40">
      <c r="A26" s="54">
        <v>28.04</v>
      </c>
      <c r="B26" s="51" t="s">
        <v>118</v>
      </c>
      <c r="C26" s="54"/>
      <c r="D26" s="51" t="s">
        <v>120</v>
      </c>
      <c r="E26" s="51"/>
      <c r="F26" s="55"/>
      <c r="G26" s="56" t="s">
        <v>563</v>
      </c>
      <c r="H26" s="76" t="s">
        <v>564</v>
      </c>
      <c r="I26" s="51"/>
      <c r="J26" s="51"/>
      <c r="K26" s="58"/>
      <c r="L26" s="59"/>
      <c r="M26" s="58">
        <v>3.5185185185185185E-3</v>
      </c>
      <c r="N26" s="58">
        <v>6.0995370370370361E-3</v>
      </c>
      <c r="O26" s="77">
        <f t="shared" si="5"/>
        <v>2.5810185185185176E-3</v>
      </c>
      <c r="P26" s="81">
        <v>42991</v>
      </c>
      <c r="Q26" s="79" t="str">
        <f t="shared" ca="1" si="0"/>
        <v>https://www.youtube.com/embed/N0PD3TuLvoo?start=304&amp;end=527&amp;autoplay=1</v>
      </c>
      <c r="R26" s="74" t="s">
        <v>94</v>
      </c>
      <c r="S26" s="74" t="s">
        <v>117</v>
      </c>
      <c r="T26" s="74" t="s">
        <v>94</v>
      </c>
      <c r="U26" s="71"/>
      <c r="V26" s="73"/>
      <c r="W26" s="75" t="s">
        <v>304</v>
      </c>
      <c r="X26" s="64"/>
      <c r="Y26" s="51"/>
      <c r="Z26" s="51" t="s">
        <v>570</v>
      </c>
      <c r="AA26" s="82"/>
      <c r="AB26" s="82"/>
      <c r="AC26" s="82"/>
      <c r="AD26" s="82"/>
      <c r="AE26" s="82"/>
      <c r="AF26" s="82"/>
      <c r="AG26" s="82"/>
      <c r="AH26" s="51"/>
      <c r="AI26" s="51"/>
      <c r="AJ26" s="51"/>
      <c r="AK26" s="51"/>
      <c r="AL26" s="51"/>
      <c r="AM26" s="51"/>
      <c r="AN26" s="51"/>
    </row>
    <row r="27" spans="1:40">
      <c r="A27" s="51">
        <v>29</v>
      </c>
      <c r="B27" s="51" t="s">
        <v>118</v>
      </c>
      <c r="C27" s="54"/>
      <c r="D27" s="51" t="s">
        <v>120</v>
      </c>
      <c r="E27" s="51" t="s">
        <v>325</v>
      </c>
      <c r="F27" s="55" t="s">
        <v>326</v>
      </c>
      <c r="G27" s="56"/>
      <c r="H27" s="57"/>
      <c r="I27" s="51"/>
      <c r="J27" s="51">
        <f>35*1000</f>
        <v>35000</v>
      </c>
      <c r="K27" s="58">
        <v>7.6851851851851847E-3</v>
      </c>
      <c r="L27" s="59" t="s">
        <v>251</v>
      </c>
      <c r="M27" s="58"/>
      <c r="N27" s="58"/>
      <c r="O27" s="51"/>
      <c r="P27" s="51">
        <v>42992</v>
      </c>
      <c r="Q27" s="37" t="str">
        <f t="shared" ca="1" si="0"/>
        <v/>
      </c>
      <c r="R27" s="70"/>
      <c r="S27" s="70"/>
      <c r="T27" s="70"/>
      <c r="U27" s="71"/>
      <c r="V27" s="73"/>
      <c r="W27" s="75"/>
      <c r="X27" s="64"/>
      <c r="Y27" s="51"/>
      <c r="Z27" s="51"/>
      <c r="AH27" s="65"/>
      <c r="AI27" s="65"/>
      <c r="AJ27" s="65"/>
      <c r="AK27" s="65"/>
      <c r="AL27" s="65"/>
      <c r="AM27" s="65"/>
      <c r="AN27" s="65"/>
    </row>
    <row r="28" spans="1:40">
      <c r="A28" s="51">
        <v>29.01</v>
      </c>
      <c r="B28" s="51" t="s">
        <v>118</v>
      </c>
      <c r="C28" s="54"/>
      <c r="D28" s="51" t="s">
        <v>120</v>
      </c>
      <c r="E28" s="51"/>
      <c r="F28" s="55"/>
      <c r="G28" s="56" t="s">
        <v>368</v>
      </c>
      <c r="H28" s="57" t="s">
        <v>578</v>
      </c>
      <c r="I28" s="51"/>
      <c r="J28" s="51"/>
      <c r="K28" s="58"/>
      <c r="L28" s="59"/>
      <c r="M28" s="58">
        <v>0</v>
      </c>
      <c r="N28" s="58">
        <v>2.4421296296296296E-3</v>
      </c>
      <c r="O28" s="58">
        <f t="shared" ref="O28:O32" si="6">N28-M28</f>
        <v>2.4421296296296296E-3</v>
      </c>
      <c r="P28" s="81">
        <v>42992</v>
      </c>
      <c r="Q28" s="79" t="str">
        <f t="shared" ca="1" si="0"/>
        <v>https://www.youtube.com/embed/C3_6Ub1GnfA?start=0&amp;end=211&amp;autoplay=1</v>
      </c>
      <c r="R28" s="70" t="s">
        <v>94</v>
      </c>
      <c r="S28" s="70" t="s">
        <v>117</v>
      </c>
      <c r="T28" s="70" t="s">
        <v>94</v>
      </c>
      <c r="U28" s="71"/>
      <c r="V28" s="73"/>
      <c r="W28" s="75" t="s">
        <v>292</v>
      </c>
      <c r="X28" s="64"/>
      <c r="Y28" s="51"/>
      <c r="Z28" s="51"/>
      <c r="AA28" s="82"/>
      <c r="AB28" s="82"/>
      <c r="AC28" s="82"/>
      <c r="AD28" s="82"/>
      <c r="AE28" s="82"/>
      <c r="AF28" s="82"/>
      <c r="AG28" s="82"/>
      <c r="AH28" s="51"/>
      <c r="AI28" s="51"/>
      <c r="AJ28" s="51"/>
      <c r="AK28" s="51"/>
      <c r="AL28" s="51"/>
      <c r="AM28" s="51"/>
      <c r="AN28" s="51"/>
    </row>
    <row r="29" spans="1:40">
      <c r="A29" s="54">
        <v>29.02</v>
      </c>
      <c r="B29" s="51" t="s">
        <v>118</v>
      </c>
      <c r="C29" s="54"/>
      <c r="D29" s="51" t="s">
        <v>120</v>
      </c>
      <c r="E29" s="51"/>
      <c r="F29" s="55"/>
      <c r="G29" s="56" t="s">
        <v>518</v>
      </c>
      <c r="H29" s="76" t="s">
        <v>587</v>
      </c>
      <c r="I29" s="51"/>
      <c r="J29" s="51"/>
      <c r="K29" s="58"/>
      <c r="L29" s="59"/>
      <c r="M29" s="58">
        <v>2.4421296296296296E-3</v>
      </c>
      <c r="N29" s="58">
        <v>4.9768518518518521E-3</v>
      </c>
      <c r="O29" s="77">
        <f t="shared" si="6"/>
        <v>2.5347222222222225E-3</v>
      </c>
      <c r="P29" s="81">
        <v>42992</v>
      </c>
      <c r="Q29" s="79" t="str">
        <f t="shared" ca="1" si="0"/>
        <v>https://www.youtube.com/embed/C3_6Ub1GnfA?start=211&amp;end=430&amp;autoplay=1</v>
      </c>
      <c r="R29" s="74" t="s">
        <v>94</v>
      </c>
      <c r="S29" s="74" t="s">
        <v>117</v>
      </c>
      <c r="T29" s="74" t="s">
        <v>94</v>
      </c>
      <c r="U29" s="71"/>
      <c r="V29" s="73"/>
      <c r="W29" s="75" t="s">
        <v>292</v>
      </c>
      <c r="X29" s="64"/>
      <c r="Y29" s="51"/>
      <c r="Z29" s="51"/>
      <c r="AA29" s="82"/>
      <c r="AB29" s="82"/>
      <c r="AC29" s="82"/>
      <c r="AD29" s="82"/>
      <c r="AE29" s="82"/>
      <c r="AF29" s="82"/>
      <c r="AG29" s="82"/>
      <c r="AH29" s="51"/>
      <c r="AI29" s="51"/>
      <c r="AJ29" s="51"/>
      <c r="AK29" s="51"/>
      <c r="AL29" s="51"/>
      <c r="AM29" s="51"/>
      <c r="AN29" s="51"/>
    </row>
    <row r="30" spans="1:40">
      <c r="A30" s="54">
        <v>29.03</v>
      </c>
      <c r="B30" s="51" t="s">
        <v>118</v>
      </c>
      <c r="C30" s="54"/>
      <c r="D30" s="51" t="s">
        <v>120</v>
      </c>
      <c r="E30" s="51"/>
      <c r="F30" s="55"/>
      <c r="G30" s="56" t="s">
        <v>595</v>
      </c>
      <c r="H30" s="76" t="s">
        <v>597</v>
      </c>
      <c r="I30" s="51"/>
      <c r="J30" s="51"/>
      <c r="K30" s="58"/>
      <c r="L30" s="59"/>
      <c r="M30" s="58">
        <v>4.9884259259259265E-3</v>
      </c>
      <c r="N30" s="58">
        <v>6.0185185185185177E-3</v>
      </c>
      <c r="O30" s="77">
        <f t="shared" si="6"/>
        <v>1.0300925925925911E-3</v>
      </c>
      <c r="P30" s="81">
        <v>42992</v>
      </c>
      <c r="Q30" s="79" t="str">
        <f t="shared" ca="1" si="0"/>
        <v>https://www.youtube.com/embed/C3_6Ub1GnfA?start=431&amp;end=520&amp;autoplay=1</v>
      </c>
      <c r="R30" s="74" t="s">
        <v>94</v>
      </c>
      <c r="S30" s="74" t="s">
        <v>117</v>
      </c>
      <c r="T30" s="74" t="s">
        <v>94</v>
      </c>
      <c r="U30" s="71"/>
      <c r="V30" s="73"/>
      <c r="W30" s="75" t="s">
        <v>292</v>
      </c>
      <c r="X30" s="64"/>
      <c r="Y30" s="51"/>
      <c r="Z30" s="51"/>
      <c r="AA30" s="82"/>
      <c r="AB30" s="82"/>
      <c r="AC30" s="82"/>
      <c r="AD30" s="82"/>
      <c r="AE30" s="82"/>
      <c r="AF30" s="82"/>
      <c r="AG30" s="82"/>
      <c r="AH30" s="51"/>
      <c r="AI30" s="51"/>
      <c r="AJ30" s="51"/>
      <c r="AK30" s="51"/>
      <c r="AL30" s="51"/>
      <c r="AM30" s="51"/>
      <c r="AN30" s="51"/>
    </row>
    <row r="31" spans="1:40">
      <c r="A31" s="54">
        <v>29.04</v>
      </c>
      <c r="B31" s="51" t="s">
        <v>118</v>
      </c>
      <c r="C31" s="51"/>
      <c r="D31" s="51" t="s">
        <v>120</v>
      </c>
      <c r="E31" s="51"/>
      <c r="F31" s="55"/>
      <c r="G31" s="56" t="s">
        <v>601</v>
      </c>
      <c r="H31" s="76" t="s">
        <v>602</v>
      </c>
      <c r="I31" s="51"/>
      <c r="J31" s="51"/>
      <c r="K31" s="58"/>
      <c r="L31" s="59"/>
      <c r="M31" s="58">
        <v>6.2268518518518515E-3</v>
      </c>
      <c r="N31" s="58">
        <v>6.8171296296296287E-3</v>
      </c>
      <c r="O31" s="77">
        <f t="shared" si="6"/>
        <v>5.9027777777777724E-4</v>
      </c>
      <c r="P31" s="81">
        <v>42992</v>
      </c>
      <c r="Q31" s="79" t="str">
        <f t="shared" ca="1" si="0"/>
        <v>https://www.youtube.com/embed/C3_6Ub1GnfA?start=538&amp;end=589&amp;autoplay=1</v>
      </c>
      <c r="R31" s="74" t="s">
        <v>94</v>
      </c>
      <c r="S31" s="74" t="s">
        <v>117</v>
      </c>
      <c r="T31" s="74" t="s">
        <v>94</v>
      </c>
      <c r="U31" s="71"/>
      <c r="V31" s="73"/>
      <c r="W31" s="75" t="s">
        <v>292</v>
      </c>
      <c r="X31" s="85"/>
      <c r="Y31" s="65"/>
      <c r="Z31" s="65"/>
      <c r="AA31" s="82"/>
      <c r="AB31" s="82"/>
      <c r="AC31" s="82"/>
      <c r="AD31" s="82"/>
      <c r="AE31" s="82"/>
      <c r="AF31" s="82"/>
      <c r="AG31" s="82"/>
      <c r="AH31" s="51"/>
      <c r="AI31" s="51"/>
      <c r="AJ31" s="51"/>
      <c r="AK31" s="51"/>
      <c r="AL31" s="51"/>
      <c r="AM31" s="51"/>
      <c r="AN31" s="51"/>
    </row>
    <row r="32" spans="1:40">
      <c r="A32" s="54">
        <v>29.05</v>
      </c>
      <c r="B32" s="51" t="s">
        <v>118</v>
      </c>
      <c r="C32" s="51"/>
      <c r="D32" s="51" t="s">
        <v>120</v>
      </c>
      <c r="E32" s="51"/>
      <c r="F32" s="55"/>
      <c r="G32" s="56" t="s">
        <v>400</v>
      </c>
      <c r="H32" s="76" t="s">
        <v>605</v>
      </c>
      <c r="I32" s="51"/>
      <c r="J32" s="51"/>
      <c r="K32" s="58"/>
      <c r="L32" s="59"/>
      <c r="M32" s="58">
        <v>6.8171296296296287E-3</v>
      </c>
      <c r="N32" s="58">
        <v>7.6736111111111111E-3</v>
      </c>
      <c r="O32" s="77">
        <f t="shared" si="6"/>
        <v>8.5648148148148237E-4</v>
      </c>
      <c r="P32" s="81">
        <v>42992</v>
      </c>
      <c r="Q32" s="79" t="str">
        <f t="shared" ca="1" si="0"/>
        <v>https://www.youtube.com/embed/C3_6Ub1GnfA?start=589&amp;end=663&amp;autoplay=1</v>
      </c>
      <c r="R32" s="74" t="s">
        <v>94</v>
      </c>
      <c r="S32" s="74" t="s">
        <v>117</v>
      </c>
      <c r="T32" s="74" t="s">
        <v>94</v>
      </c>
      <c r="U32" s="71"/>
      <c r="V32" s="73"/>
      <c r="W32" s="75" t="s">
        <v>292</v>
      </c>
      <c r="X32" s="85"/>
      <c r="Y32" s="65"/>
      <c r="Z32" s="65"/>
      <c r="AA32" s="82"/>
      <c r="AB32" s="82"/>
      <c r="AC32" s="82"/>
      <c r="AD32" s="82"/>
      <c r="AE32" s="82"/>
      <c r="AF32" s="82"/>
      <c r="AG32" s="82"/>
      <c r="AH32" s="51"/>
      <c r="AI32" s="51"/>
      <c r="AJ32" s="51"/>
      <c r="AK32" s="51"/>
      <c r="AL32" s="51"/>
      <c r="AM32" s="51"/>
      <c r="AN32" s="51"/>
    </row>
    <row r="33" spans="1:40">
      <c r="A33" s="54">
        <v>91</v>
      </c>
      <c r="B33" s="51" t="s">
        <v>118</v>
      </c>
      <c r="C33" s="51"/>
      <c r="D33" s="51" t="s">
        <v>120</v>
      </c>
      <c r="E33" s="51" t="s">
        <v>616</v>
      </c>
      <c r="F33" s="55" t="s">
        <v>617</v>
      </c>
      <c r="G33" s="80"/>
      <c r="H33" s="76"/>
      <c r="I33" s="51"/>
      <c r="J33" s="51">
        <f>44*1000</f>
        <v>44000</v>
      </c>
      <c r="K33" s="58">
        <v>2.4074074074074071E-2</v>
      </c>
      <c r="L33" s="59" t="s">
        <v>459</v>
      </c>
      <c r="M33" s="58"/>
      <c r="N33" s="58"/>
      <c r="O33" s="77"/>
      <c r="P33" s="81">
        <v>43008</v>
      </c>
      <c r="Q33" s="37" t="str">
        <f t="shared" ca="1" si="0"/>
        <v/>
      </c>
      <c r="R33" s="74"/>
      <c r="S33" s="74"/>
      <c r="T33" s="74"/>
      <c r="U33" s="71"/>
      <c r="V33" s="73"/>
      <c r="W33" s="75"/>
      <c r="X33" s="85"/>
      <c r="Y33" s="65"/>
      <c r="Z33" s="65"/>
      <c r="AA33" s="82"/>
      <c r="AB33" s="82"/>
      <c r="AC33" s="82"/>
      <c r="AD33" s="82"/>
      <c r="AE33" s="82"/>
      <c r="AF33" s="82"/>
      <c r="AG33" s="82"/>
      <c r="AH33" s="51"/>
      <c r="AI33" s="51"/>
      <c r="AJ33" s="51"/>
      <c r="AK33" s="51"/>
      <c r="AL33" s="51"/>
      <c r="AM33" s="51"/>
      <c r="AN33" s="51"/>
    </row>
    <row r="34" spans="1:40">
      <c r="A34" s="54">
        <v>91.01</v>
      </c>
      <c r="B34" s="51" t="s">
        <v>118</v>
      </c>
      <c r="C34" s="54"/>
      <c r="D34" s="51" t="s">
        <v>120</v>
      </c>
      <c r="E34" s="51"/>
      <c r="F34" s="55"/>
      <c r="G34" s="56" t="s">
        <v>943</v>
      </c>
      <c r="H34" s="76" t="s">
        <v>944</v>
      </c>
      <c r="I34" s="51"/>
      <c r="J34" s="51"/>
      <c r="K34" s="58"/>
      <c r="L34" s="59"/>
      <c r="M34" s="58">
        <v>1.0532407407407407E-3</v>
      </c>
      <c r="N34" s="58">
        <v>2.7777777777777779E-3</v>
      </c>
      <c r="O34" s="77">
        <f t="shared" ref="O34:O40" si="7">N34-M34</f>
        <v>1.7245370370370372E-3</v>
      </c>
      <c r="P34" s="81">
        <v>43008</v>
      </c>
      <c r="Q34" s="79" t="str">
        <f t="shared" ca="1" si="0"/>
        <v>https://www.youtube.com/embed/G3NpQQMh8jQ?start=91&amp;end=240&amp;autoplay=1</v>
      </c>
      <c r="R34" s="74" t="s">
        <v>94</v>
      </c>
      <c r="S34" s="74" t="s">
        <v>94</v>
      </c>
      <c r="T34" s="74" t="s">
        <v>94</v>
      </c>
      <c r="U34" s="71"/>
      <c r="V34" s="73"/>
      <c r="W34" s="75" t="s">
        <v>292</v>
      </c>
      <c r="X34" s="85"/>
      <c r="Y34" s="65"/>
      <c r="Z34" s="65"/>
      <c r="AA34" s="82"/>
      <c r="AB34" s="82"/>
      <c r="AC34" s="82"/>
      <c r="AD34" s="82"/>
      <c r="AE34" s="82"/>
      <c r="AF34" s="82"/>
      <c r="AG34" s="82"/>
      <c r="AH34" s="51"/>
      <c r="AI34" s="51"/>
      <c r="AJ34" s="51"/>
      <c r="AK34" s="51"/>
      <c r="AL34" s="51"/>
      <c r="AM34" s="51"/>
      <c r="AN34" s="51"/>
    </row>
    <row r="35" spans="1:40">
      <c r="A35" s="51">
        <v>91.02</v>
      </c>
      <c r="B35" s="51" t="s">
        <v>118</v>
      </c>
      <c r="C35" s="51"/>
      <c r="D35" s="51" t="s">
        <v>120</v>
      </c>
      <c r="E35" s="51"/>
      <c r="F35" s="55"/>
      <c r="G35" s="56" t="s">
        <v>947</v>
      </c>
      <c r="H35" s="57" t="s">
        <v>948</v>
      </c>
      <c r="I35" s="51"/>
      <c r="J35" s="51"/>
      <c r="K35" s="58"/>
      <c r="L35" s="59"/>
      <c r="M35" s="58">
        <v>2.7893518518518519E-3</v>
      </c>
      <c r="N35" s="58">
        <v>3.9699074074074072E-3</v>
      </c>
      <c r="O35" s="58">
        <f t="shared" si="7"/>
        <v>1.1805555555555554E-3</v>
      </c>
      <c r="P35" s="81">
        <v>43008</v>
      </c>
      <c r="Q35" s="79" t="str">
        <f t="shared" ca="1" si="0"/>
        <v>https://www.youtube.com/embed/G3NpQQMh8jQ?start=241&amp;end=343&amp;autoplay=1</v>
      </c>
      <c r="R35" s="70" t="s">
        <v>94</v>
      </c>
      <c r="S35" s="70" t="s">
        <v>94</v>
      </c>
      <c r="T35" s="70" t="s">
        <v>94</v>
      </c>
      <c r="U35" s="71"/>
      <c r="V35" s="73"/>
      <c r="W35" s="75" t="s">
        <v>292</v>
      </c>
      <c r="X35" s="64"/>
      <c r="Y35" s="51"/>
      <c r="Z35" s="51"/>
      <c r="AA35" s="82"/>
      <c r="AB35" s="82"/>
      <c r="AC35" s="82"/>
      <c r="AD35" s="82"/>
      <c r="AE35" s="82"/>
      <c r="AF35" s="82"/>
      <c r="AG35" s="82"/>
      <c r="AH35" s="51"/>
      <c r="AI35" s="51"/>
      <c r="AJ35" s="51"/>
      <c r="AK35" s="51"/>
      <c r="AL35" s="51"/>
      <c r="AM35" s="51"/>
      <c r="AN35" s="51"/>
    </row>
    <row r="36" spans="1:40">
      <c r="A36" s="54">
        <v>91.03</v>
      </c>
      <c r="B36" s="51" t="s">
        <v>118</v>
      </c>
      <c r="C36" s="51"/>
      <c r="D36" s="51" t="s">
        <v>120</v>
      </c>
      <c r="E36" s="51"/>
      <c r="F36" s="55"/>
      <c r="G36" s="56" t="s">
        <v>951</v>
      </c>
      <c r="H36" s="86" t="s">
        <v>952</v>
      </c>
      <c r="I36" s="51"/>
      <c r="J36" s="51"/>
      <c r="K36" s="58"/>
      <c r="L36" s="59"/>
      <c r="M36" s="58">
        <v>3.9699074074074072E-3</v>
      </c>
      <c r="N36" s="58">
        <v>1.0451388888888889E-2</v>
      </c>
      <c r="O36" s="77">
        <f t="shared" si="7"/>
        <v>6.4814814814814813E-3</v>
      </c>
      <c r="P36" s="81">
        <v>43008</v>
      </c>
      <c r="Q36" s="79" t="str">
        <f t="shared" ca="1" si="0"/>
        <v>https://www.youtube.com/embed/G3NpQQMh8jQ?start=343&amp;end=903&amp;autoplay=1</v>
      </c>
      <c r="R36" s="70" t="s">
        <v>94</v>
      </c>
      <c r="S36" s="70" t="s">
        <v>94</v>
      </c>
      <c r="T36" s="70" t="s">
        <v>94</v>
      </c>
      <c r="U36" s="71"/>
      <c r="V36" s="73"/>
      <c r="W36" s="75" t="s">
        <v>292</v>
      </c>
      <c r="X36" s="64"/>
      <c r="Y36" s="51"/>
      <c r="Z36" s="51" t="s">
        <v>953</v>
      </c>
      <c r="AA36" s="82"/>
      <c r="AB36" s="82"/>
      <c r="AC36" s="82"/>
      <c r="AD36" s="82"/>
      <c r="AE36" s="82"/>
      <c r="AF36" s="82"/>
      <c r="AG36" s="82"/>
      <c r="AH36" s="51"/>
      <c r="AI36" s="51"/>
      <c r="AJ36" s="51"/>
      <c r="AK36" s="51"/>
      <c r="AL36" s="51"/>
      <c r="AM36" s="51"/>
      <c r="AN36" s="51"/>
    </row>
    <row r="37" spans="1:40">
      <c r="A37" s="54">
        <v>91.04</v>
      </c>
      <c r="B37" s="51" t="s">
        <v>118</v>
      </c>
      <c r="C37" s="51"/>
      <c r="D37" s="51" t="s">
        <v>120</v>
      </c>
      <c r="E37" s="51"/>
      <c r="F37" s="55"/>
      <c r="G37" s="56" t="s">
        <v>956</v>
      </c>
      <c r="H37" s="86" t="s">
        <v>957</v>
      </c>
      <c r="I37" s="51"/>
      <c r="J37" s="51"/>
      <c r="K37" s="58"/>
      <c r="L37" s="59"/>
      <c r="M37" s="58">
        <v>1.0451388888888889E-2</v>
      </c>
      <c r="N37" s="58">
        <v>1.3020833333333334E-2</v>
      </c>
      <c r="O37" s="77">
        <f t="shared" si="7"/>
        <v>2.5694444444444454E-3</v>
      </c>
      <c r="P37" s="81">
        <v>43008</v>
      </c>
      <c r="Q37" s="79" t="str">
        <f t="shared" ca="1" si="0"/>
        <v>https://www.youtube.com/embed/G3NpQQMh8jQ?start=903&amp;end=1125&amp;autoplay=1</v>
      </c>
      <c r="R37" s="70" t="s">
        <v>94</v>
      </c>
      <c r="S37" s="70" t="s">
        <v>94</v>
      </c>
      <c r="T37" s="70" t="s">
        <v>94</v>
      </c>
      <c r="U37" s="71"/>
      <c r="V37" s="73"/>
      <c r="W37" s="75" t="s">
        <v>292</v>
      </c>
      <c r="X37" s="64"/>
      <c r="Y37" s="51"/>
      <c r="Z37" s="51"/>
      <c r="AA37" s="82"/>
      <c r="AB37" s="82"/>
      <c r="AC37" s="82"/>
      <c r="AD37" s="82"/>
      <c r="AE37" s="82"/>
      <c r="AF37" s="82"/>
      <c r="AG37" s="82"/>
      <c r="AH37" s="51"/>
      <c r="AI37" s="51"/>
      <c r="AJ37" s="51"/>
      <c r="AK37" s="51"/>
      <c r="AL37" s="51"/>
      <c r="AM37" s="51"/>
      <c r="AN37" s="51"/>
    </row>
    <row r="38" spans="1:40">
      <c r="A38" s="54">
        <v>91.05</v>
      </c>
      <c r="B38" s="51" t="s">
        <v>118</v>
      </c>
      <c r="C38" s="51"/>
      <c r="D38" s="51" t="s">
        <v>120</v>
      </c>
      <c r="E38" s="51"/>
      <c r="F38" s="55"/>
      <c r="G38" s="56" t="s">
        <v>958</v>
      </c>
      <c r="H38" s="86" t="s">
        <v>959</v>
      </c>
      <c r="I38" s="51"/>
      <c r="J38" s="51"/>
      <c r="K38" s="58"/>
      <c r="L38" s="59"/>
      <c r="M38" s="58">
        <v>1.3553240740740741E-2</v>
      </c>
      <c r="N38" s="58">
        <v>1.5891203703703703E-2</v>
      </c>
      <c r="O38" s="77">
        <f t="shared" si="7"/>
        <v>2.3379629629629618E-3</v>
      </c>
      <c r="P38" s="81">
        <v>43008</v>
      </c>
      <c r="Q38" s="79" t="str">
        <f t="shared" ca="1" si="0"/>
        <v>https://www.youtube.com/embed/G3NpQQMh8jQ?start=1171&amp;end=1373&amp;autoplay=1</v>
      </c>
      <c r="R38" s="70" t="s">
        <v>94</v>
      </c>
      <c r="S38" s="70" t="s">
        <v>94</v>
      </c>
      <c r="T38" s="70" t="s">
        <v>94</v>
      </c>
      <c r="U38" s="71"/>
      <c r="V38" s="73"/>
      <c r="W38" s="75" t="s">
        <v>292</v>
      </c>
      <c r="X38" s="64"/>
      <c r="Y38" s="51"/>
      <c r="Z38" s="51"/>
      <c r="AA38" s="82"/>
      <c r="AB38" s="82"/>
      <c r="AC38" s="82"/>
      <c r="AD38" s="82"/>
      <c r="AE38" s="82"/>
      <c r="AF38" s="82"/>
      <c r="AG38" s="82"/>
      <c r="AH38" s="51"/>
      <c r="AI38" s="51"/>
      <c r="AJ38" s="51"/>
      <c r="AK38" s="51"/>
      <c r="AL38" s="51"/>
      <c r="AM38" s="51"/>
      <c r="AN38" s="51"/>
    </row>
    <row r="39" spans="1:40">
      <c r="A39" s="87">
        <v>91.06</v>
      </c>
      <c r="B39" s="54" t="s">
        <v>118</v>
      </c>
      <c r="C39" s="51"/>
      <c r="D39" s="88" t="s">
        <v>120</v>
      </c>
      <c r="E39" s="88"/>
      <c r="F39" s="90"/>
      <c r="G39" s="91" t="s">
        <v>962</v>
      </c>
      <c r="H39" s="82" t="s">
        <v>963</v>
      </c>
      <c r="I39" s="87"/>
      <c r="J39" s="87"/>
      <c r="K39" s="58"/>
      <c r="L39" s="87"/>
      <c r="M39" s="58">
        <v>1.5891203703703703E-2</v>
      </c>
      <c r="N39" s="58">
        <v>1.6828703703703703E-2</v>
      </c>
      <c r="O39" s="58">
        <f t="shared" si="7"/>
        <v>9.3750000000000083E-4</v>
      </c>
      <c r="P39" s="81">
        <v>43008</v>
      </c>
      <c r="Q39" s="79" t="str">
        <f t="shared" ca="1" si="0"/>
        <v>https://www.youtube.com/embed/G3NpQQMh8jQ?start=1373&amp;end=1454&amp;autoplay=1</v>
      </c>
      <c r="R39" s="70" t="s">
        <v>94</v>
      </c>
      <c r="S39" s="70" t="s">
        <v>94</v>
      </c>
      <c r="T39" s="70" t="s">
        <v>94</v>
      </c>
      <c r="U39" s="71"/>
      <c r="V39" s="73"/>
      <c r="W39" s="75" t="s">
        <v>292</v>
      </c>
      <c r="X39" s="78"/>
      <c r="Y39" s="54"/>
      <c r="Z39" s="54"/>
      <c r="AA39" s="82"/>
      <c r="AB39" s="82"/>
      <c r="AC39" s="82"/>
      <c r="AD39" s="82"/>
      <c r="AE39" s="82"/>
      <c r="AF39" s="82"/>
      <c r="AG39" s="82"/>
      <c r="AH39" s="51"/>
      <c r="AI39" s="51"/>
      <c r="AJ39" s="51"/>
      <c r="AK39" s="51"/>
      <c r="AL39" s="51"/>
      <c r="AM39" s="51"/>
      <c r="AN39" s="51"/>
    </row>
    <row r="40" spans="1:40">
      <c r="A40" s="54">
        <v>91.07</v>
      </c>
      <c r="B40" s="54" t="s">
        <v>118</v>
      </c>
      <c r="C40" s="54"/>
      <c r="D40" s="51" t="s">
        <v>120</v>
      </c>
      <c r="E40" s="51"/>
      <c r="F40" s="56"/>
      <c r="G40" s="54" t="s">
        <v>966</v>
      </c>
      <c r="H40" s="86" t="s">
        <v>967</v>
      </c>
      <c r="I40" s="51"/>
      <c r="J40" s="51"/>
      <c r="K40" s="58"/>
      <c r="L40" s="59"/>
      <c r="M40" s="58">
        <v>1.6909722222222222E-2</v>
      </c>
      <c r="N40" s="58">
        <v>2.2268518518518517E-2</v>
      </c>
      <c r="O40" s="77">
        <f t="shared" si="7"/>
        <v>5.3587962962962955E-3</v>
      </c>
      <c r="P40" s="81">
        <v>43008</v>
      </c>
      <c r="Q40" s="79" t="str">
        <f t="shared" ca="1" si="0"/>
        <v>https://www.youtube.com/embed/G3NpQQMh8jQ?start=1461&amp;end=1924&amp;autoplay=1</v>
      </c>
      <c r="R40" s="74" t="s">
        <v>94</v>
      </c>
      <c r="S40" s="74" t="s">
        <v>94</v>
      </c>
      <c r="T40" s="74" t="s">
        <v>94</v>
      </c>
      <c r="U40" s="71"/>
      <c r="V40" s="73"/>
      <c r="W40" s="75" t="s">
        <v>292</v>
      </c>
      <c r="X40" s="92"/>
      <c r="Y40" s="82"/>
      <c r="Z40" s="82"/>
      <c r="AA40" s="82"/>
      <c r="AB40" s="82"/>
      <c r="AC40" s="82"/>
      <c r="AD40" s="82"/>
      <c r="AE40" s="82"/>
      <c r="AF40" s="82"/>
      <c r="AG40" s="82"/>
      <c r="AH40" s="51"/>
      <c r="AI40" s="51"/>
      <c r="AJ40" s="51"/>
      <c r="AK40" s="51"/>
      <c r="AL40" s="51"/>
      <c r="AM40" s="51"/>
      <c r="AN40" s="51"/>
    </row>
    <row r="41" spans="1:40">
      <c r="A41" s="54">
        <v>24</v>
      </c>
      <c r="B41" s="54" t="s">
        <v>118</v>
      </c>
      <c r="C41" s="51"/>
      <c r="D41" s="51"/>
      <c r="E41" s="51" t="s">
        <v>305</v>
      </c>
      <c r="F41" s="93" t="s">
        <v>306</v>
      </c>
      <c r="G41" s="54" t="s">
        <v>461</v>
      </c>
      <c r="H41" s="86"/>
      <c r="I41" s="51"/>
      <c r="J41" s="51">
        <f>2.4*1000</f>
        <v>2400</v>
      </c>
      <c r="K41" s="58">
        <v>8.2523148148148148E-3</v>
      </c>
      <c r="L41" s="59" t="s">
        <v>251</v>
      </c>
      <c r="M41" s="58"/>
      <c r="N41" s="58"/>
      <c r="O41" s="77"/>
      <c r="P41" s="81">
        <v>43008</v>
      </c>
      <c r="Q41" s="37" t="str">
        <f t="shared" ca="1" si="0"/>
        <v/>
      </c>
      <c r="R41" s="70"/>
      <c r="S41" s="70"/>
      <c r="T41" s="70"/>
      <c r="U41" s="71"/>
      <c r="V41" s="73"/>
      <c r="W41" s="75" t="s">
        <v>292</v>
      </c>
      <c r="X41" s="64"/>
      <c r="Y41" s="51"/>
      <c r="Z41" s="51" t="s">
        <v>466</v>
      </c>
      <c r="AA41" s="82"/>
      <c r="AB41" s="82"/>
      <c r="AC41" s="82"/>
      <c r="AD41" s="82"/>
      <c r="AE41" s="82"/>
      <c r="AF41" s="82"/>
      <c r="AG41" s="82"/>
      <c r="AH41" s="51"/>
      <c r="AI41" s="51"/>
      <c r="AJ41" s="51"/>
      <c r="AK41" s="51"/>
      <c r="AL41" s="51"/>
      <c r="AM41" s="51"/>
      <c r="AN41" s="51"/>
    </row>
    <row r="42" spans="1:40">
      <c r="A42" s="54">
        <v>24.01</v>
      </c>
      <c r="B42" s="54" t="s">
        <v>118</v>
      </c>
      <c r="C42" s="51"/>
      <c r="D42" s="51" t="s">
        <v>120</v>
      </c>
      <c r="E42" s="51"/>
      <c r="F42" s="56"/>
      <c r="G42" s="54" t="s">
        <v>469</v>
      </c>
      <c r="H42" s="86" t="s">
        <v>470</v>
      </c>
      <c r="I42" s="51"/>
      <c r="J42" s="51"/>
      <c r="K42" s="58"/>
      <c r="L42" s="59"/>
      <c r="M42" s="58">
        <v>1.4236111111111112E-3</v>
      </c>
      <c r="N42" s="58">
        <v>1.9560185185185184E-3</v>
      </c>
      <c r="O42" s="77">
        <f t="shared" ref="O42:O45" si="8">N42-M42</f>
        <v>5.3240740740740722E-4</v>
      </c>
      <c r="P42" s="81">
        <v>43008</v>
      </c>
      <c r="Q42" s="79" t="str">
        <f t="shared" ca="1" si="0"/>
        <v>https://www.youtube.com/embed/LdrmgXtd_rs?start=123&amp;end=169&amp;autoplay=1</v>
      </c>
      <c r="R42" s="70" t="s">
        <v>94</v>
      </c>
      <c r="S42" s="70" t="s">
        <v>117</v>
      </c>
      <c r="T42" s="70" t="s">
        <v>117</v>
      </c>
      <c r="U42" s="71"/>
      <c r="V42" s="73"/>
      <c r="W42" s="75" t="s">
        <v>304</v>
      </c>
      <c r="X42" s="64"/>
      <c r="Y42" s="51"/>
      <c r="Z42" s="51"/>
      <c r="AA42" s="82"/>
      <c r="AB42" s="82"/>
      <c r="AC42" s="82"/>
      <c r="AD42" s="82"/>
      <c r="AE42" s="82"/>
      <c r="AF42" s="82"/>
      <c r="AG42" s="82"/>
      <c r="AH42" s="51"/>
      <c r="AI42" s="51"/>
      <c r="AJ42" s="51"/>
      <c r="AK42" s="51"/>
      <c r="AL42" s="51"/>
      <c r="AM42" s="51"/>
      <c r="AN42" s="51"/>
    </row>
    <row r="43" spans="1:40">
      <c r="A43" s="54">
        <v>24.02</v>
      </c>
      <c r="B43" s="54" t="s">
        <v>118</v>
      </c>
      <c r="C43" s="51"/>
      <c r="D43" s="51" t="s">
        <v>120</v>
      </c>
      <c r="E43" s="51"/>
      <c r="F43" s="56"/>
      <c r="G43" s="54" t="s">
        <v>476</v>
      </c>
      <c r="H43" s="86" t="s">
        <v>478</v>
      </c>
      <c r="I43" s="51"/>
      <c r="J43" s="51"/>
      <c r="K43" s="58"/>
      <c r="L43" s="59"/>
      <c r="M43" s="58">
        <v>2.5810185185185185E-3</v>
      </c>
      <c r="N43" s="58">
        <v>5.4629629629629629E-3</v>
      </c>
      <c r="O43" s="77">
        <f t="shared" si="8"/>
        <v>2.8819444444444444E-3</v>
      </c>
      <c r="P43" s="81">
        <v>43008</v>
      </c>
      <c r="Q43" s="79" t="str">
        <f t="shared" ca="1" si="0"/>
        <v>https://www.youtube.com/embed/LdrmgXtd_rs?start=223&amp;end=472&amp;autoplay=1</v>
      </c>
      <c r="R43" s="70" t="s">
        <v>94</v>
      </c>
      <c r="S43" s="70" t="s">
        <v>117</v>
      </c>
      <c r="T43" s="70" t="s">
        <v>117</v>
      </c>
      <c r="U43" s="71"/>
      <c r="V43" s="73"/>
      <c r="W43" s="75" t="s">
        <v>304</v>
      </c>
      <c r="X43" s="64"/>
      <c r="Y43" s="51"/>
      <c r="Z43" s="51"/>
      <c r="AA43" s="82"/>
      <c r="AB43" s="82"/>
      <c r="AC43" s="82"/>
      <c r="AD43" s="82"/>
      <c r="AE43" s="82"/>
      <c r="AF43" s="82"/>
      <c r="AG43" s="82"/>
      <c r="AH43" s="51"/>
      <c r="AI43" s="51"/>
      <c r="AJ43" s="51"/>
      <c r="AK43" s="51"/>
      <c r="AL43" s="51"/>
      <c r="AM43" s="51"/>
      <c r="AN43" s="51"/>
    </row>
    <row r="44" spans="1:40">
      <c r="A44" s="51">
        <v>24.03</v>
      </c>
      <c r="B44" s="54" t="s">
        <v>118</v>
      </c>
      <c r="C44" s="51"/>
      <c r="D44" s="54" t="s">
        <v>120</v>
      </c>
      <c r="E44" s="51"/>
      <c r="F44" s="55"/>
      <c r="G44" s="56" t="s">
        <v>479</v>
      </c>
      <c r="H44" s="57" t="s">
        <v>480</v>
      </c>
      <c r="I44" s="51"/>
      <c r="J44" s="51"/>
      <c r="K44" s="58"/>
      <c r="L44" s="59"/>
      <c r="M44" s="58">
        <v>5.4629629629629629E-3</v>
      </c>
      <c r="N44" s="58">
        <v>6.6203703703703702E-3</v>
      </c>
      <c r="O44" s="58">
        <f t="shared" si="8"/>
        <v>1.1574074074074073E-3</v>
      </c>
      <c r="P44" s="81">
        <v>43008</v>
      </c>
      <c r="Q44" s="79" t="str">
        <f t="shared" ca="1" si="0"/>
        <v>https://www.youtube.com/embed/LdrmgXtd_rs?start=472&amp;end=572&amp;autoplay=1</v>
      </c>
      <c r="R44" s="51" t="s">
        <v>94</v>
      </c>
      <c r="S44" s="51" t="s">
        <v>117</v>
      </c>
      <c r="T44" s="51" t="s">
        <v>117</v>
      </c>
      <c r="U44" s="51"/>
      <c r="V44" s="51"/>
      <c r="W44" s="51" t="s">
        <v>304</v>
      </c>
      <c r="X44" s="78"/>
      <c r="Y44" s="54"/>
      <c r="Z44" s="54"/>
      <c r="AA44" s="51"/>
      <c r="AB44" s="51"/>
      <c r="AC44" s="94"/>
      <c r="AD44" s="94"/>
      <c r="AE44" s="94"/>
      <c r="AF44" s="94"/>
      <c r="AG44" s="94"/>
      <c r="AH44" s="51"/>
      <c r="AI44" s="51"/>
      <c r="AJ44" s="51"/>
      <c r="AK44" s="51"/>
      <c r="AL44" s="51"/>
      <c r="AM44" s="51"/>
      <c r="AN44" s="51"/>
    </row>
    <row r="45" spans="1:40">
      <c r="A45" s="54">
        <v>24.04</v>
      </c>
      <c r="B45" s="54" t="s">
        <v>118</v>
      </c>
      <c r="C45" s="51"/>
      <c r="D45" s="54" t="s">
        <v>120</v>
      </c>
      <c r="E45" s="51"/>
      <c r="F45" s="56"/>
      <c r="G45" s="54" t="s">
        <v>484</v>
      </c>
      <c r="H45" s="86" t="s">
        <v>485</v>
      </c>
      <c r="I45" s="51"/>
      <c r="J45" s="51"/>
      <c r="K45" s="58"/>
      <c r="L45" s="59"/>
      <c r="M45" s="58">
        <v>6.6203703703703702E-3</v>
      </c>
      <c r="N45" s="58">
        <v>8.2407407407407412E-3</v>
      </c>
      <c r="O45" s="77">
        <f t="shared" si="8"/>
        <v>1.620370370370371E-3</v>
      </c>
      <c r="P45" s="81">
        <v>43008</v>
      </c>
      <c r="Q45" s="79" t="str">
        <f t="shared" ca="1" si="0"/>
        <v>https://www.youtube.com/embed/LdrmgXtd_rs?start=572&amp;end=712&amp;autoplay=1</v>
      </c>
      <c r="R45" s="74" t="s">
        <v>94</v>
      </c>
      <c r="S45" s="74" t="s">
        <v>117</v>
      </c>
      <c r="T45" s="74" t="s">
        <v>117</v>
      </c>
      <c r="U45" s="71"/>
      <c r="V45" s="73"/>
      <c r="W45" s="75" t="s">
        <v>304</v>
      </c>
      <c r="X45" s="64"/>
      <c r="Y45" s="51"/>
      <c r="Z45" s="51"/>
      <c r="AA45" s="82"/>
      <c r="AB45" s="82"/>
      <c r="AC45" s="82"/>
      <c r="AD45" s="82"/>
      <c r="AE45" s="82"/>
      <c r="AF45" s="82"/>
      <c r="AG45" s="82"/>
      <c r="AH45" s="51"/>
      <c r="AI45" s="51"/>
      <c r="AJ45" s="51"/>
      <c r="AK45" s="51"/>
      <c r="AL45" s="51"/>
      <c r="AM45" s="51"/>
      <c r="AN45" s="51"/>
    </row>
    <row r="46" spans="1:40">
      <c r="A46" s="51">
        <v>25</v>
      </c>
      <c r="B46" s="51" t="s">
        <v>118</v>
      </c>
      <c r="C46" s="51"/>
      <c r="D46" s="51" t="s">
        <v>120</v>
      </c>
      <c r="E46" s="51" t="s">
        <v>310</v>
      </c>
      <c r="F46" s="55" t="s">
        <v>311</v>
      </c>
      <c r="G46" s="56"/>
      <c r="H46" s="57"/>
      <c r="I46" s="51"/>
      <c r="J46" s="51">
        <f>2.1*1000</f>
        <v>2100</v>
      </c>
      <c r="K46" s="58">
        <v>9.618055555555555E-3</v>
      </c>
      <c r="L46" s="59" t="s">
        <v>251</v>
      </c>
      <c r="M46" s="58"/>
      <c r="N46" s="58"/>
      <c r="O46" s="51"/>
      <c r="P46" s="81">
        <v>43008</v>
      </c>
      <c r="Q46" s="37" t="str">
        <f t="shared" ca="1" si="0"/>
        <v/>
      </c>
      <c r="R46" s="70"/>
      <c r="S46" s="70"/>
      <c r="T46" s="70"/>
      <c r="U46" s="71"/>
      <c r="V46" s="73"/>
      <c r="W46" s="75"/>
      <c r="X46" s="64"/>
      <c r="Y46" s="51"/>
      <c r="Z46" s="51" t="s">
        <v>494</v>
      </c>
      <c r="AA46" s="82"/>
      <c r="AB46" s="82"/>
      <c r="AC46" s="82"/>
      <c r="AD46" s="82"/>
      <c r="AE46" s="82"/>
      <c r="AF46" s="82"/>
      <c r="AG46" s="82"/>
      <c r="AH46" s="51"/>
      <c r="AI46" s="51"/>
      <c r="AJ46" s="51"/>
      <c r="AK46" s="51"/>
      <c r="AL46" s="51"/>
      <c r="AM46" s="51"/>
      <c r="AN46" s="51"/>
    </row>
    <row r="47" spans="1:40">
      <c r="A47" s="54">
        <v>25.01</v>
      </c>
      <c r="B47" s="51" t="s">
        <v>118</v>
      </c>
      <c r="C47" s="51"/>
      <c r="D47" s="51" t="s">
        <v>120</v>
      </c>
      <c r="E47" s="51"/>
      <c r="F47" s="55"/>
      <c r="G47" s="56" t="s">
        <v>484</v>
      </c>
      <c r="H47" s="76" t="s">
        <v>498</v>
      </c>
      <c r="I47" s="51"/>
      <c r="J47" s="51"/>
      <c r="K47" s="58"/>
      <c r="L47" s="59"/>
      <c r="M47" s="58">
        <v>2.3148148148148147E-5</v>
      </c>
      <c r="N47" s="58">
        <v>6.0648148148148145E-3</v>
      </c>
      <c r="O47" s="77">
        <f>N47-M47</f>
        <v>6.0416666666666665E-3</v>
      </c>
      <c r="P47" s="81">
        <v>43008</v>
      </c>
      <c r="Q47" s="79" t="str">
        <f t="shared" ca="1" si="0"/>
        <v>https://www.youtube.com/embed/gbWoqwJKhbM?start=2&amp;end=524&amp;autoplay=1</v>
      </c>
      <c r="R47" s="70" t="s">
        <v>94</v>
      </c>
      <c r="S47" s="70" t="s">
        <v>117</v>
      </c>
      <c r="T47" s="70" t="s">
        <v>117</v>
      </c>
      <c r="U47" s="71"/>
      <c r="V47" s="73"/>
      <c r="W47" s="75" t="s">
        <v>304</v>
      </c>
      <c r="X47" s="85"/>
      <c r="Y47" s="65"/>
      <c r="Z47" s="65"/>
      <c r="AA47" s="82"/>
      <c r="AB47" s="82"/>
      <c r="AC47" s="82"/>
      <c r="AD47" s="82"/>
      <c r="AE47" s="82"/>
      <c r="AF47" s="82"/>
      <c r="AG47" s="82"/>
      <c r="AH47" s="51"/>
      <c r="AI47" s="51"/>
      <c r="AJ47" s="51"/>
      <c r="AK47" s="51"/>
      <c r="AL47" s="51"/>
      <c r="AM47" s="51"/>
      <c r="AN47" s="51"/>
    </row>
    <row r="48" spans="1:40">
      <c r="A48" s="54">
        <v>33</v>
      </c>
      <c r="B48" s="51" t="s">
        <v>118</v>
      </c>
      <c r="C48" s="51"/>
      <c r="D48" s="54" t="s">
        <v>120</v>
      </c>
      <c r="E48" s="51" t="s">
        <v>346</v>
      </c>
      <c r="F48" s="55" t="s">
        <v>347</v>
      </c>
      <c r="G48" s="56"/>
      <c r="H48" s="76"/>
      <c r="I48" s="51"/>
      <c r="J48" s="51">
        <f>732</f>
        <v>732</v>
      </c>
      <c r="K48" s="58">
        <v>7.3379629629629628E-3</v>
      </c>
      <c r="L48" s="59" t="s">
        <v>251</v>
      </c>
      <c r="M48" s="58"/>
      <c r="N48" s="58"/>
      <c r="O48" s="77"/>
      <c r="P48" s="81"/>
      <c r="Q48" s="37" t="str">
        <f t="shared" ca="1" si="0"/>
        <v/>
      </c>
      <c r="R48" s="70"/>
      <c r="S48" s="70"/>
      <c r="T48" s="70"/>
      <c r="U48" s="71"/>
      <c r="V48" s="73"/>
      <c r="W48" s="75"/>
      <c r="X48" s="85"/>
      <c r="Y48" s="65"/>
      <c r="Z48" s="65"/>
      <c r="AA48" s="82"/>
      <c r="AB48" s="82"/>
      <c r="AC48" s="82"/>
      <c r="AD48" s="82"/>
      <c r="AE48" s="82"/>
      <c r="AF48" s="82"/>
      <c r="AG48" s="82"/>
      <c r="AH48" s="51"/>
      <c r="AI48" s="51"/>
      <c r="AJ48" s="51"/>
      <c r="AK48" s="51"/>
      <c r="AL48" s="51"/>
      <c r="AM48" s="51"/>
      <c r="AN48" s="51"/>
    </row>
    <row r="49" spans="1:40">
      <c r="A49" s="54">
        <v>33.01</v>
      </c>
      <c r="B49" s="54" t="s">
        <v>118</v>
      </c>
      <c r="C49" s="51"/>
      <c r="D49" s="54" t="s">
        <v>120</v>
      </c>
      <c r="E49" s="51"/>
      <c r="F49" s="55"/>
      <c r="G49" s="80" t="s">
        <v>629</v>
      </c>
      <c r="H49" s="76" t="s">
        <v>630</v>
      </c>
      <c r="I49" s="51"/>
      <c r="J49" s="51"/>
      <c r="K49" s="58"/>
      <c r="L49" s="59"/>
      <c r="M49" s="101">
        <v>7.7546296296296293E-4</v>
      </c>
      <c r="N49" s="101">
        <v>4.1087962962962962E-3</v>
      </c>
      <c r="O49" s="77">
        <f t="shared" ref="O49:O50" si="9">N49-M49</f>
        <v>3.3333333333333331E-3</v>
      </c>
      <c r="P49" s="81">
        <v>43012</v>
      </c>
      <c r="Q49" s="79" t="str">
        <f t="shared" ca="1" si="0"/>
        <v>https://www.youtube.com/embed/BEz8X5SUwjY?start=67&amp;end=355&amp;autoplay=1</v>
      </c>
      <c r="R49" s="74" t="s">
        <v>94</v>
      </c>
      <c r="S49" s="74" t="s">
        <v>94</v>
      </c>
      <c r="T49" s="74" t="s">
        <v>94</v>
      </c>
      <c r="U49" s="71"/>
      <c r="V49" s="73"/>
      <c r="W49" s="102" t="s">
        <v>292</v>
      </c>
      <c r="X49" s="85"/>
      <c r="Y49" s="65"/>
      <c r="Z49" s="103" t="s">
        <v>639</v>
      </c>
      <c r="AA49" s="82"/>
      <c r="AB49" s="82"/>
      <c r="AC49" s="82"/>
      <c r="AD49" s="82"/>
      <c r="AE49" s="82"/>
      <c r="AF49" s="82"/>
      <c r="AG49" s="82"/>
      <c r="AH49" s="51"/>
      <c r="AI49" s="51"/>
      <c r="AJ49" s="51"/>
      <c r="AK49" s="51"/>
      <c r="AL49" s="51"/>
      <c r="AM49" s="51"/>
      <c r="AN49" s="51"/>
    </row>
    <row r="50" spans="1:40">
      <c r="A50" s="54">
        <v>33.020000000000003</v>
      </c>
      <c r="B50" s="54" t="s">
        <v>118</v>
      </c>
      <c r="C50" s="51"/>
      <c r="D50" s="54" t="s">
        <v>120</v>
      </c>
      <c r="E50" s="51"/>
      <c r="F50" s="55"/>
      <c r="G50" s="80" t="s">
        <v>643</v>
      </c>
      <c r="H50" s="76" t="s">
        <v>646</v>
      </c>
      <c r="I50" s="51"/>
      <c r="J50" s="51"/>
      <c r="K50" s="58"/>
      <c r="L50" s="59"/>
      <c r="M50" s="101">
        <v>4.1087962962962962E-3</v>
      </c>
      <c r="N50" s="101">
        <v>7.3263888888888892E-3</v>
      </c>
      <c r="O50" s="77">
        <f t="shared" si="9"/>
        <v>3.2175925925925931E-3</v>
      </c>
      <c r="P50" s="81">
        <v>43012</v>
      </c>
      <c r="Q50" s="79" t="str">
        <f t="shared" ca="1" si="0"/>
        <v>https://www.youtube.com/embed/BEz8X5SUwjY?start=355&amp;end=633&amp;autoplay=1</v>
      </c>
      <c r="R50" s="74" t="s">
        <v>94</v>
      </c>
      <c r="S50" s="74" t="s">
        <v>94</v>
      </c>
      <c r="T50" s="74" t="s">
        <v>94</v>
      </c>
      <c r="U50" s="71"/>
      <c r="V50" s="73"/>
      <c r="W50" s="102" t="s">
        <v>292</v>
      </c>
      <c r="X50" s="85"/>
      <c r="Y50" s="65"/>
      <c r="Z50" s="65"/>
      <c r="AA50" s="82"/>
      <c r="AB50" s="82"/>
      <c r="AC50" s="82"/>
      <c r="AD50" s="82"/>
      <c r="AE50" s="82"/>
      <c r="AF50" s="82"/>
      <c r="AG50" s="82"/>
      <c r="AH50" s="51"/>
      <c r="AI50" s="51"/>
      <c r="AJ50" s="51"/>
      <c r="AK50" s="51"/>
      <c r="AL50" s="51"/>
      <c r="AM50" s="51"/>
      <c r="AN50" s="51"/>
    </row>
    <row r="51" spans="1:40">
      <c r="A51" s="51">
        <v>34</v>
      </c>
      <c r="B51" s="54" t="s">
        <v>118</v>
      </c>
      <c r="C51" s="51"/>
      <c r="D51" s="54" t="s">
        <v>120</v>
      </c>
      <c r="E51" s="51" t="s">
        <v>349</v>
      </c>
      <c r="F51" s="55" t="s">
        <v>350</v>
      </c>
      <c r="G51" s="56"/>
      <c r="H51" s="57"/>
      <c r="I51" s="51"/>
      <c r="J51" s="51">
        <f>459</f>
        <v>459</v>
      </c>
      <c r="K51" s="58">
        <v>7.6388888888888886E-3</v>
      </c>
      <c r="L51" s="59" t="s">
        <v>251</v>
      </c>
      <c r="M51" s="77"/>
      <c r="N51" s="77"/>
      <c r="O51" s="51"/>
      <c r="P51" s="51"/>
      <c r="Q51" s="37" t="str">
        <f t="shared" ca="1" si="0"/>
        <v/>
      </c>
      <c r="R51" s="52"/>
      <c r="S51" s="52"/>
      <c r="T51" s="52"/>
      <c r="U51" s="61"/>
      <c r="V51" s="62"/>
      <c r="W51" s="63"/>
      <c r="X51" s="64"/>
      <c r="Y51" s="51"/>
      <c r="Z51" s="51"/>
      <c r="AA51" s="51"/>
      <c r="AB51" s="51"/>
      <c r="AC51" s="82"/>
      <c r="AD51" s="82"/>
      <c r="AE51" s="82"/>
      <c r="AF51" s="82"/>
      <c r="AG51" s="82"/>
      <c r="AH51" s="51"/>
      <c r="AI51" s="51"/>
      <c r="AJ51" s="51"/>
      <c r="AK51" s="51"/>
      <c r="AL51" s="51"/>
      <c r="AM51" s="51"/>
      <c r="AN51" s="51"/>
    </row>
    <row r="52" spans="1:40">
      <c r="A52" s="54">
        <v>34.01</v>
      </c>
      <c r="B52" s="54" t="s">
        <v>118</v>
      </c>
      <c r="C52" s="51"/>
      <c r="D52" s="54" t="s">
        <v>120</v>
      </c>
      <c r="E52" s="51"/>
      <c r="F52" s="55"/>
      <c r="G52" s="80" t="s">
        <v>654</v>
      </c>
      <c r="H52" s="76" t="s">
        <v>655</v>
      </c>
      <c r="I52" s="51"/>
      <c r="J52" s="51"/>
      <c r="K52" s="58"/>
      <c r="L52" s="59"/>
      <c r="M52" s="101">
        <v>0</v>
      </c>
      <c r="N52" s="101">
        <v>4.2592592592592595E-3</v>
      </c>
      <c r="O52" s="77">
        <f t="shared" ref="O52:O54" si="10">N52-M52</f>
        <v>4.2592592592592595E-3</v>
      </c>
      <c r="P52" s="81">
        <v>43012</v>
      </c>
      <c r="Q52" s="79" t="str">
        <f t="shared" ca="1" si="0"/>
        <v>https://www.youtube.com/embed/lzMEDrUFlpw?start=0&amp;end=368&amp;autoplay=1</v>
      </c>
      <c r="R52" s="70"/>
      <c r="S52" s="70"/>
      <c r="T52" s="70"/>
      <c r="U52" s="71"/>
      <c r="V52" s="73"/>
      <c r="W52" s="102" t="s">
        <v>292</v>
      </c>
      <c r="X52" s="85"/>
      <c r="Y52" s="65"/>
      <c r="Z52" s="65"/>
      <c r="AA52" s="82"/>
      <c r="AB52" s="82"/>
      <c r="AC52" s="82"/>
      <c r="AD52" s="82"/>
      <c r="AE52" s="82"/>
      <c r="AF52" s="82"/>
      <c r="AG52" s="82"/>
      <c r="AH52" s="51"/>
      <c r="AI52" s="51"/>
      <c r="AJ52" s="51"/>
      <c r="AK52" s="51"/>
      <c r="AL52" s="51"/>
      <c r="AM52" s="51"/>
      <c r="AN52" s="51"/>
    </row>
    <row r="53" spans="1:40">
      <c r="A53" s="54">
        <v>34.020000000000003</v>
      </c>
      <c r="B53" s="54" t="s">
        <v>118</v>
      </c>
      <c r="C53" s="51"/>
      <c r="D53" s="54" t="s">
        <v>120</v>
      </c>
      <c r="E53" s="51"/>
      <c r="F53" s="55"/>
      <c r="G53" s="80" t="s">
        <v>658</v>
      </c>
      <c r="H53" s="76" t="s">
        <v>659</v>
      </c>
      <c r="I53" s="51"/>
      <c r="J53" s="51"/>
      <c r="K53" s="58"/>
      <c r="L53" s="59"/>
      <c r="M53" s="101">
        <v>4.2592592592592595E-3</v>
      </c>
      <c r="N53" s="101">
        <v>6.2731481481481484E-3</v>
      </c>
      <c r="O53" s="77">
        <f t="shared" si="10"/>
        <v>2.0138888888888888E-3</v>
      </c>
      <c r="P53" s="81">
        <v>43012</v>
      </c>
      <c r="Q53" s="79" t="str">
        <f t="shared" ca="1" si="0"/>
        <v>https://www.youtube.com/embed/lzMEDrUFlpw?start=368&amp;end=542&amp;autoplay=1</v>
      </c>
      <c r="R53" s="70"/>
      <c r="S53" s="70"/>
      <c r="T53" s="70"/>
      <c r="U53" s="71"/>
      <c r="V53" s="73"/>
      <c r="W53" s="102" t="s">
        <v>292</v>
      </c>
      <c r="X53" s="85"/>
      <c r="Y53" s="65"/>
      <c r="Z53" s="65"/>
      <c r="AA53" s="82"/>
      <c r="AB53" s="82"/>
      <c r="AC53" s="82"/>
      <c r="AD53" s="82"/>
      <c r="AE53" s="82"/>
      <c r="AF53" s="82"/>
      <c r="AG53" s="82"/>
      <c r="AH53" s="51"/>
      <c r="AI53" s="51"/>
      <c r="AJ53" s="51"/>
      <c r="AK53" s="51"/>
      <c r="AL53" s="51"/>
      <c r="AM53" s="51"/>
      <c r="AN53" s="51"/>
    </row>
    <row r="54" spans="1:40">
      <c r="A54" s="54">
        <v>34.03</v>
      </c>
      <c r="B54" s="54" t="s">
        <v>118</v>
      </c>
      <c r="C54" s="51"/>
      <c r="D54" s="54" t="s">
        <v>120</v>
      </c>
      <c r="E54" s="51"/>
      <c r="F54" s="55"/>
      <c r="G54" s="80" t="s">
        <v>662</v>
      </c>
      <c r="H54" s="76" t="s">
        <v>663</v>
      </c>
      <c r="I54" s="51"/>
      <c r="J54" s="51"/>
      <c r="K54" s="58"/>
      <c r="L54" s="59"/>
      <c r="M54" s="101">
        <v>6.2731481481481484E-3</v>
      </c>
      <c r="N54" s="101">
        <v>7.6273148148148151E-3</v>
      </c>
      <c r="O54" s="77">
        <f t="shared" si="10"/>
        <v>1.3541666666666667E-3</v>
      </c>
      <c r="P54" s="81">
        <v>43012</v>
      </c>
      <c r="Q54" s="79" t="str">
        <f t="shared" ca="1" si="0"/>
        <v>https://www.youtube.com/embed/lzMEDrUFlpw?start=542&amp;end=659&amp;autoplay=1</v>
      </c>
      <c r="R54" s="70"/>
      <c r="S54" s="70"/>
      <c r="T54" s="70"/>
      <c r="U54" s="71"/>
      <c r="V54" s="73"/>
      <c r="W54" s="102" t="s">
        <v>292</v>
      </c>
      <c r="X54" s="85"/>
      <c r="Y54" s="65"/>
      <c r="Z54" s="65"/>
      <c r="AA54" s="82"/>
      <c r="AB54" s="82"/>
      <c r="AC54" s="82"/>
      <c r="AD54" s="82"/>
      <c r="AE54" s="82"/>
      <c r="AF54" s="82"/>
      <c r="AG54" s="82"/>
      <c r="AH54" s="51"/>
      <c r="AI54" s="51"/>
      <c r="AJ54" s="51"/>
      <c r="AK54" s="51"/>
      <c r="AL54" s="51"/>
      <c r="AM54" s="51"/>
      <c r="AN54" s="51"/>
    </row>
    <row r="55" spans="1:40">
      <c r="A55" s="51">
        <v>35</v>
      </c>
      <c r="B55" s="54" t="s">
        <v>118</v>
      </c>
      <c r="C55" s="51"/>
      <c r="D55" s="54" t="s">
        <v>120</v>
      </c>
      <c r="E55" s="51" t="s">
        <v>355</v>
      </c>
      <c r="F55" s="55" t="s">
        <v>356</v>
      </c>
      <c r="G55" s="56"/>
      <c r="H55" s="57"/>
      <c r="I55" s="51"/>
      <c r="J55" s="51">
        <f>419</f>
        <v>419</v>
      </c>
      <c r="K55" s="58">
        <v>5.9490740740740745E-3</v>
      </c>
      <c r="L55" s="59" t="s">
        <v>251</v>
      </c>
      <c r="M55" s="77"/>
      <c r="N55" s="77"/>
      <c r="O55" s="51"/>
      <c r="P55" s="81">
        <v>43012</v>
      </c>
      <c r="Q55" s="37" t="str">
        <f t="shared" ca="1" si="0"/>
        <v/>
      </c>
      <c r="R55" s="52"/>
      <c r="S55" s="52"/>
      <c r="T55" s="52"/>
      <c r="U55" s="61"/>
      <c r="V55" s="62"/>
      <c r="W55" s="63"/>
      <c r="X55" s="64"/>
      <c r="Y55" s="51"/>
      <c r="Z55" s="51"/>
      <c r="AA55" s="51"/>
      <c r="AB55" s="51"/>
      <c r="AC55" s="82"/>
      <c r="AD55" s="82"/>
      <c r="AE55" s="82"/>
      <c r="AF55" s="82"/>
      <c r="AG55" s="82"/>
      <c r="AH55" s="51"/>
      <c r="AI55" s="51"/>
      <c r="AJ55" s="51"/>
      <c r="AK55" s="51"/>
      <c r="AL55" s="51"/>
      <c r="AM55" s="51"/>
      <c r="AN55" s="51"/>
    </row>
    <row r="56" spans="1:40">
      <c r="A56" s="54">
        <v>35.01</v>
      </c>
      <c r="B56" s="54" t="s">
        <v>118</v>
      </c>
      <c r="C56" s="51"/>
      <c r="D56" s="54" t="s">
        <v>120</v>
      </c>
      <c r="E56" s="51"/>
      <c r="F56" s="55"/>
      <c r="G56" s="80" t="s">
        <v>667</v>
      </c>
      <c r="H56" s="76" t="s">
        <v>669</v>
      </c>
      <c r="I56" s="51"/>
      <c r="J56" s="51"/>
      <c r="K56" s="58"/>
      <c r="L56" s="59"/>
      <c r="M56" s="101">
        <v>0</v>
      </c>
      <c r="N56" s="101">
        <v>4.0162037037037041E-3</v>
      </c>
      <c r="O56" s="77">
        <f t="shared" ref="O56:O57" si="11">N56-M56</f>
        <v>4.0162037037037041E-3</v>
      </c>
      <c r="P56" s="81">
        <v>43012</v>
      </c>
      <c r="Q56" s="79" t="str">
        <f t="shared" ca="1" si="0"/>
        <v>https://www.youtube.com/embed/qCG2vqnaUx4?start=0&amp;end=347&amp;autoplay=1</v>
      </c>
      <c r="R56" s="70"/>
      <c r="S56" s="70"/>
      <c r="T56" s="70"/>
      <c r="U56" s="71"/>
      <c r="V56" s="73"/>
      <c r="W56" s="102" t="s">
        <v>292</v>
      </c>
      <c r="X56" s="64"/>
      <c r="Y56" s="51"/>
      <c r="Z56" s="51"/>
      <c r="AA56" s="82"/>
      <c r="AB56" s="82"/>
      <c r="AC56" s="82"/>
      <c r="AD56" s="82"/>
      <c r="AE56" s="82"/>
      <c r="AF56" s="82"/>
      <c r="AG56" s="82"/>
      <c r="AH56" s="51"/>
      <c r="AI56" s="51"/>
      <c r="AJ56" s="51"/>
      <c r="AK56" s="51"/>
      <c r="AL56" s="51"/>
      <c r="AM56" s="51"/>
      <c r="AN56" s="51"/>
    </row>
    <row r="57" spans="1:40">
      <c r="A57" s="54">
        <v>35.020000000000003</v>
      </c>
      <c r="B57" s="54" t="s">
        <v>118</v>
      </c>
      <c r="C57" s="51"/>
      <c r="D57" s="54" t="s">
        <v>120</v>
      </c>
      <c r="E57" s="51"/>
      <c r="F57" s="55"/>
      <c r="G57" s="80" t="s">
        <v>672</v>
      </c>
      <c r="H57" s="76" t="s">
        <v>673</v>
      </c>
      <c r="I57" s="51"/>
      <c r="J57" s="51"/>
      <c r="K57" s="58"/>
      <c r="L57" s="59"/>
      <c r="M57" s="101">
        <v>4.0162037037037041E-3</v>
      </c>
      <c r="N57" s="101">
        <v>5.9490740740740745E-3</v>
      </c>
      <c r="O57" s="77">
        <f t="shared" si="11"/>
        <v>1.9328703703703704E-3</v>
      </c>
      <c r="P57" s="81">
        <v>43012</v>
      </c>
      <c r="Q57" s="79" t="str">
        <f t="shared" ca="1" si="0"/>
        <v>https://www.youtube.com/embed/qCG2vqnaUx4?start=347&amp;end=514&amp;autoplay=1</v>
      </c>
      <c r="R57" s="70"/>
      <c r="S57" s="70"/>
      <c r="T57" s="70"/>
      <c r="U57" s="71"/>
      <c r="V57" s="73"/>
      <c r="W57" s="102" t="s">
        <v>292</v>
      </c>
      <c r="X57" s="64"/>
      <c r="Y57" s="51"/>
      <c r="Z57" s="51"/>
      <c r="AA57" s="82"/>
      <c r="AB57" s="82"/>
      <c r="AC57" s="82"/>
      <c r="AD57" s="82"/>
      <c r="AE57" s="82"/>
      <c r="AF57" s="82"/>
      <c r="AG57" s="82"/>
      <c r="AH57" s="51"/>
      <c r="AI57" s="51"/>
      <c r="AJ57" s="51"/>
      <c r="AK57" s="51"/>
      <c r="AL57" s="51"/>
      <c r="AM57" s="51"/>
      <c r="AN57" s="51"/>
    </row>
    <row r="58" spans="1:40">
      <c r="A58" s="51">
        <v>36</v>
      </c>
      <c r="B58" s="54" t="s">
        <v>118</v>
      </c>
      <c r="C58" s="51"/>
      <c r="D58" s="54" t="s">
        <v>120</v>
      </c>
      <c r="E58" s="51" t="s">
        <v>358</v>
      </c>
      <c r="F58" s="55" t="s">
        <v>359</v>
      </c>
      <c r="G58" s="56"/>
      <c r="H58" s="57"/>
      <c r="I58" s="51"/>
      <c r="J58" s="51">
        <f>755</f>
        <v>755</v>
      </c>
      <c r="K58" s="58">
        <v>8.3449074074074085E-3</v>
      </c>
      <c r="L58" s="59" t="s">
        <v>251</v>
      </c>
      <c r="M58" s="77"/>
      <c r="N58" s="77"/>
      <c r="O58" s="51"/>
      <c r="P58" s="51"/>
      <c r="Q58" s="37" t="str">
        <f t="shared" ca="1" si="0"/>
        <v/>
      </c>
      <c r="R58" s="52"/>
      <c r="S58" s="52"/>
      <c r="T58" s="52"/>
      <c r="U58" s="61"/>
      <c r="V58" s="62"/>
      <c r="W58" s="63"/>
      <c r="X58" s="64"/>
      <c r="Y58" s="51"/>
      <c r="Z58" s="51"/>
      <c r="AA58" s="51"/>
      <c r="AB58" s="51"/>
      <c r="AC58" s="82"/>
      <c r="AD58" s="82"/>
      <c r="AE58" s="82"/>
      <c r="AF58" s="82"/>
      <c r="AG58" s="82"/>
      <c r="AH58" s="51"/>
      <c r="AI58" s="51"/>
      <c r="AJ58" s="51"/>
      <c r="AK58" s="51"/>
      <c r="AL58" s="51"/>
      <c r="AM58" s="51"/>
      <c r="AN58" s="51"/>
    </row>
    <row r="59" spans="1:40">
      <c r="A59" s="54">
        <v>36.01</v>
      </c>
      <c r="B59" s="54" t="s">
        <v>118</v>
      </c>
      <c r="C59" s="51"/>
      <c r="D59" s="54" t="s">
        <v>120</v>
      </c>
      <c r="E59" s="51"/>
      <c r="F59" s="55"/>
      <c r="G59" s="80" t="s">
        <v>685</v>
      </c>
      <c r="H59" s="76" t="s">
        <v>686</v>
      </c>
      <c r="I59" s="51"/>
      <c r="J59" s="51"/>
      <c r="K59" s="58"/>
      <c r="L59" s="59"/>
      <c r="M59" s="101">
        <v>3.5879629629629629E-4</v>
      </c>
      <c r="N59" s="101">
        <v>3.5416666666666665E-3</v>
      </c>
      <c r="O59" s="77">
        <f t="shared" ref="O59:O62" si="12">N59-M59</f>
        <v>3.1828703703703702E-3</v>
      </c>
      <c r="P59" s="99">
        <v>43013</v>
      </c>
      <c r="Q59" s="79" t="str">
        <f t="shared" ca="1" si="0"/>
        <v>https://www.youtube.com/embed/ycnvyB8pDEM?start=31&amp;end=306&amp;autoplay=1</v>
      </c>
      <c r="R59" s="74" t="s">
        <v>117</v>
      </c>
      <c r="S59" s="74" t="s">
        <v>94</v>
      </c>
      <c r="T59" s="74" t="s">
        <v>94</v>
      </c>
      <c r="U59" s="71"/>
      <c r="V59" s="73"/>
      <c r="W59" s="102" t="s">
        <v>292</v>
      </c>
      <c r="X59" s="64"/>
      <c r="Y59" s="51"/>
      <c r="Z59" s="103" t="s">
        <v>688</v>
      </c>
      <c r="AA59" s="82"/>
      <c r="AB59" s="82"/>
      <c r="AC59" s="82"/>
      <c r="AD59" s="82"/>
      <c r="AE59" s="82"/>
      <c r="AF59" s="82"/>
      <c r="AG59" s="82"/>
      <c r="AH59" s="51"/>
      <c r="AI59" s="51"/>
      <c r="AJ59" s="51"/>
      <c r="AK59" s="51"/>
      <c r="AL59" s="51"/>
      <c r="AM59" s="51"/>
      <c r="AN59" s="51"/>
    </row>
    <row r="60" spans="1:40">
      <c r="A60" s="54">
        <v>36.020000000000003</v>
      </c>
      <c r="B60" s="54" t="s">
        <v>118</v>
      </c>
      <c r="C60" s="54"/>
      <c r="D60" s="54" t="s">
        <v>120</v>
      </c>
      <c r="E60" s="51"/>
      <c r="F60" s="55"/>
      <c r="G60" s="80" t="s">
        <v>693</v>
      </c>
      <c r="H60" s="76" t="s">
        <v>694</v>
      </c>
      <c r="I60" s="51"/>
      <c r="J60" s="51"/>
      <c r="K60" s="58"/>
      <c r="L60" s="59"/>
      <c r="M60" s="101">
        <v>3.5532407407407409E-3</v>
      </c>
      <c r="N60" s="101">
        <v>4.5717592592592589E-3</v>
      </c>
      <c r="O60" s="77">
        <f t="shared" si="12"/>
        <v>1.018518518518518E-3</v>
      </c>
      <c r="P60" s="99">
        <v>43013</v>
      </c>
      <c r="Q60" s="79" t="str">
        <f t="shared" ca="1" si="0"/>
        <v>https://www.youtube.com/embed/ycnvyB8pDEM?start=307&amp;end=395&amp;autoplay=1</v>
      </c>
      <c r="R60" s="74" t="s">
        <v>94</v>
      </c>
      <c r="S60" s="74" t="s">
        <v>94</v>
      </c>
      <c r="T60" s="74" t="s">
        <v>94</v>
      </c>
      <c r="U60" s="71"/>
      <c r="V60" s="73"/>
      <c r="W60" s="102" t="s">
        <v>292</v>
      </c>
      <c r="X60" s="64"/>
      <c r="Y60" s="51"/>
      <c r="Z60" s="51"/>
      <c r="AA60" s="82"/>
      <c r="AB60" s="82"/>
      <c r="AC60" s="82"/>
      <c r="AD60" s="82"/>
      <c r="AE60" s="82"/>
      <c r="AF60" s="82"/>
      <c r="AG60" s="82"/>
      <c r="AH60" s="51"/>
      <c r="AI60" s="51"/>
      <c r="AJ60" s="51"/>
      <c r="AK60" s="51"/>
      <c r="AL60" s="51"/>
      <c r="AM60" s="51"/>
      <c r="AN60" s="51"/>
    </row>
    <row r="61" spans="1:40">
      <c r="A61" s="54">
        <v>36.03</v>
      </c>
      <c r="B61" s="54" t="s">
        <v>118</v>
      </c>
      <c r="C61" s="51"/>
      <c r="D61" s="54" t="s">
        <v>120</v>
      </c>
      <c r="E61" s="51"/>
      <c r="F61" s="55"/>
      <c r="G61" s="80" t="s">
        <v>698</v>
      </c>
      <c r="H61" s="76" t="s">
        <v>699</v>
      </c>
      <c r="I61" s="51"/>
      <c r="J61" s="51"/>
      <c r="K61" s="58"/>
      <c r="L61" s="59"/>
      <c r="M61" s="101">
        <v>4.5717592592592589E-3</v>
      </c>
      <c r="N61" s="101">
        <v>6.1111111111111114E-3</v>
      </c>
      <c r="O61" s="77">
        <f t="shared" si="12"/>
        <v>1.5393518518518525E-3</v>
      </c>
      <c r="P61" s="99">
        <v>43013</v>
      </c>
      <c r="Q61" s="79" t="str">
        <f t="shared" ca="1" si="0"/>
        <v>https://www.youtube.com/embed/ycnvyB8pDEM?start=395&amp;end=528&amp;autoplay=1</v>
      </c>
      <c r="R61" s="74" t="s">
        <v>94</v>
      </c>
      <c r="S61" s="74" t="s">
        <v>94</v>
      </c>
      <c r="T61" s="74" t="s">
        <v>94</v>
      </c>
      <c r="U61" s="71"/>
      <c r="V61" s="73"/>
      <c r="W61" s="102" t="s">
        <v>292</v>
      </c>
      <c r="X61" s="64"/>
      <c r="Y61" s="51"/>
      <c r="Z61" s="54" t="s">
        <v>703</v>
      </c>
      <c r="AA61" s="82"/>
      <c r="AB61" s="82"/>
      <c r="AC61" s="82"/>
      <c r="AD61" s="82"/>
      <c r="AE61" s="82"/>
      <c r="AF61" s="82"/>
      <c r="AG61" s="82"/>
      <c r="AH61" s="51"/>
      <c r="AI61" s="51"/>
      <c r="AJ61" s="51"/>
      <c r="AK61" s="51"/>
      <c r="AL61" s="51"/>
      <c r="AM61" s="51"/>
      <c r="AN61" s="51"/>
    </row>
    <row r="62" spans="1:40">
      <c r="A62" s="54">
        <v>36.04</v>
      </c>
      <c r="B62" s="54" t="s">
        <v>118</v>
      </c>
      <c r="C62" s="51"/>
      <c r="D62" s="54" t="s">
        <v>120</v>
      </c>
      <c r="E62" s="51"/>
      <c r="F62" s="55"/>
      <c r="G62" s="80" t="s">
        <v>706</v>
      </c>
      <c r="H62" s="76" t="s">
        <v>707</v>
      </c>
      <c r="I62" s="51"/>
      <c r="J62" s="51"/>
      <c r="K62" s="58"/>
      <c r="L62" s="59"/>
      <c r="M62" s="101">
        <v>6.1111111111111114E-3</v>
      </c>
      <c r="N62" s="101">
        <v>7.8125E-3</v>
      </c>
      <c r="O62" s="77">
        <f t="shared" si="12"/>
        <v>1.7013888888888886E-3</v>
      </c>
      <c r="P62" s="99">
        <v>43013</v>
      </c>
      <c r="Q62" s="79" t="str">
        <f t="shared" ca="1" si="0"/>
        <v>https://www.youtube.com/embed/ycnvyB8pDEM?start=528&amp;end=675&amp;autoplay=1</v>
      </c>
      <c r="R62" s="74" t="s">
        <v>94</v>
      </c>
      <c r="S62" s="74" t="s">
        <v>94</v>
      </c>
      <c r="T62" s="74" t="s">
        <v>94</v>
      </c>
      <c r="U62" s="71"/>
      <c r="V62" s="73"/>
      <c r="W62" s="102" t="s">
        <v>292</v>
      </c>
      <c r="X62" s="64"/>
      <c r="Y62" s="51"/>
      <c r="Z62" s="54" t="s">
        <v>703</v>
      </c>
      <c r="AH62" s="51"/>
      <c r="AI62" s="51"/>
      <c r="AJ62" s="51"/>
      <c r="AK62" s="51"/>
      <c r="AL62" s="51"/>
      <c r="AM62" s="51"/>
      <c r="AN62" s="51"/>
    </row>
    <row r="63" spans="1:40">
      <c r="A63" s="51">
        <v>37</v>
      </c>
      <c r="B63" s="54" t="s">
        <v>118</v>
      </c>
      <c r="C63" s="51"/>
      <c r="D63" s="54" t="s">
        <v>120</v>
      </c>
      <c r="E63" s="51" t="s">
        <v>360</v>
      </c>
      <c r="F63" s="55" t="s">
        <v>361</v>
      </c>
      <c r="G63" s="56"/>
      <c r="H63" s="57"/>
      <c r="I63" s="51"/>
      <c r="J63" s="51">
        <f>773</f>
        <v>773</v>
      </c>
      <c r="K63" s="58">
        <v>9.5486111111111101E-3</v>
      </c>
      <c r="L63" s="59" t="s">
        <v>251</v>
      </c>
      <c r="M63" s="77"/>
      <c r="N63" s="77"/>
      <c r="O63" s="51"/>
      <c r="P63" s="51"/>
      <c r="Q63" s="37" t="str">
        <f t="shared" ca="1" si="0"/>
        <v/>
      </c>
      <c r="R63" s="52"/>
      <c r="S63" s="52"/>
      <c r="T63" s="52"/>
      <c r="U63" s="61"/>
      <c r="V63" s="62"/>
      <c r="W63" s="63"/>
      <c r="X63" s="64"/>
      <c r="Y63" s="51"/>
      <c r="Z63" s="51"/>
      <c r="AA63" s="51"/>
      <c r="AB63" s="51"/>
      <c r="AH63" s="51"/>
      <c r="AI63" s="51"/>
      <c r="AJ63" s="51"/>
      <c r="AK63" s="51"/>
      <c r="AL63" s="51"/>
      <c r="AM63" s="51"/>
      <c r="AN63" s="51"/>
    </row>
    <row r="64" spans="1:40">
      <c r="A64" s="54">
        <v>37.01</v>
      </c>
      <c r="B64" s="54" t="s">
        <v>118</v>
      </c>
      <c r="C64" s="51"/>
      <c r="D64" s="54" t="s">
        <v>120</v>
      </c>
      <c r="E64" s="51"/>
      <c r="F64" s="55"/>
      <c r="G64" s="80" t="s">
        <v>714</v>
      </c>
      <c r="H64" s="76" t="s">
        <v>715</v>
      </c>
      <c r="I64" s="51"/>
      <c r="J64" s="51"/>
      <c r="K64" s="58"/>
      <c r="L64" s="59"/>
      <c r="M64" s="109">
        <v>0</v>
      </c>
      <c r="N64" s="109">
        <v>3.6805555555555554E-3</v>
      </c>
      <c r="O64" s="77">
        <f t="shared" ref="O64:O66" si="13">N64-M64</f>
        <v>3.6805555555555554E-3</v>
      </c>
      <c r="P64" s="99">
        <v>43013</v>
      </c>
      <c r="Q64" s="79" t="str">
        <f t="shared" ca="1" si="0"/>
        <v>https://www.youtube.com/embed/xANxZaCCD70?start=0&amp;end=318&amp;autoplay=1</v>
      </c>
      <c r="R64" s="74" t="s">
        <v>94</v>
      </c>
      <c r="S64" s="74" t="s">
        <v>94</v>
      </c>
      <c r="T64" s="74" t="s">
        <v>94</v>
      </c>
      <c r="U64" s="61"/>
      <c r="V64" s="62"/>
      <c r="W64" s="83" t="s">
        <v>292</v>
      </c>
      <c r="X64" s="64"/>
      <c r="Y64" s="51"/>
      <c r="Z64" s="51"/>
      <c r="AA64" s="51"/>
      <c r="AB64" s="51"/>
      <c r="AH64" s="51"/>
      <c r="AI64" s="51"/>
      <c r="AJ64" s="51"/>
      <c r="AK64" s="51"/>
      <c r="AL64" s="51"/>
      <c r="AM64" s="51"/>
      <c r="AN64" s="51"/>
    </row>
    <row r="65" spans="1:40">
      <c r="A65" s="54">
        <v>37.020000000000003</v>
      </c>
      <c r="B65" s="54" t="s">
        <v>118</v>
      </c>
      <c r="C65" s="51"/>
      <c r="D65" s="54" t="s">
        <v>120</v>
      </c>
      <c r="E65" s="51"/>
      <c r="F65" s="55"/>
      <c r="G65" s="80" t="s">
        <v>724</v>
      </c>
      <c r="H65" s="76" t="s">
        <v>725</v>
      </c>
      <c r="I65" s="51"/>
      <c r="J65" s="51"/>
      <c r="K65" s="58"/>
      <c r="L65" s="59"/>
      <c r="M65" s="109">
        <v>3.6805555555555554E-3</v>
      </c>
      <c r="N65" s="109">
        <v>5.0694444444444441E-3</v>
      </c>
      <c r="O65" s="77">
        <f t="shared" si="13"/>
        <v>1.3888888888888887E-3</v>
      </c>
      <c r="P65" s="99">
        <v>43013</v>
      </c>
      <c r="Q65" s="79" t="str">
        <f t="shared" ca="1" si="0"/>
        <v>https://www.youtube.com/embed/xANxZaCCD70?start=318&amp;end=438&amp;autoplay=1</v>
      </c>
      <c r="R65" s="69" t="s">
        <v>117</v>
      </c>
      <c r="S65" s="69" t="s">
        <v>94</v>
      </c>
      <c r="T65" s="69" t="s">
        <v>94</v>
      </c>
      <c r="U65" s="61"/>
      <c r="V65" s="62"/>
      <c r="W65" s="83" t="s">
        <v>292</v>
      </c>
      <c r="X65" s="64"/>
      <c r="Y65" s="51"/>
      <c r="Z65" s="54" t="s">
        <v>726</v>
      </c>
      <c r="AA65" s="51"/>
      <c r="AB65" s="51"/>
      <c r="AH65" s="51"/>
      <c r="AI65" s="51"/>
      <c r="AJ65" s="51"/>
      <c r="AK65" s="51"/>
      <c r="AL65" s="51"/>
      <c r="AM65" s="51"/>
      <c r="AN65" s="51"/>
    </row>
    <row r="66" spans="1:40">
      <c r="A66" s="54">
        <v>37.03</v>
      </c>
      <c r="B66" s="54" t="s">
        <v>118</v>
      </c>
      <c r="C66" s="51"/>
      <c r="D66" s="54" t="s">
        <v>120</v>
      </c>
      <c r="E66" s="51"/>
      <c r="F66" s="55"/>
      <c r="G66" s="80" t="s">
        <v>729</v>
      </c>
      <c r="H66" s="76" t="s">
        <v>730</v>
      </c>
      <c r="I66" s="51"/>
      <c r="J66" s="51"/>
      <c r="K66" s="58"/>
      <c r="L66" s="59"/>
      <c r="M66" s="109">
        <v>5.092592592592593E-3</v>
      </c>
      <c r="N66" s="109">
        <v>9.5370370370370366E-3</v>
      </c>
      <c r="O66" s="77">
        <f t="shared" si="13"/>
        <v>4.4444444444444436E-3</v>
      </c>
      <c r="P66" s="99">
        <v>43013</v>
      </c>
      <c r="Q66" s="79" t="str">
        <f t="shared" ca="1" si="0"/>
        <v>https://www.youtube.com/embed/xANxZaCCD70?start=440&amp;end=824&amp;autoplay=1</v>
      </c>
      <c r="R66" s="52"/>
      <c r="S66" s="52"/>
      <c r="T66" s="52"/>
      <c r="U66" s="61"/>
      <c r="V66" s="62"/>
      <c r="W66" s="83" t="s">
        <v>292</v>
      </c>
      <c r="X66" s="64"/>
      <c r="Y66" s="51"/>
      <c r="Z66" s="54" t="s">
        <v>734</v>
      </c>
      <c r="AA66" s="51"/>
      <c r="AB66" s="51"/>
      <c r="AH66" s="51"/>
      <c r="AI66" s="51"/>
      <c r="AJ66" s="51"/>
      <c r="AK66" s="51"/>
      <c r="AL66" s="51"/>
      <c r="AM66" s="51"/>
      <c r="AN66" s="51"/>
    </row>
    <row r="67" spans="1:40">
      <c r="A67" s="51">
        <v>38</v>
      </c>
      <c r="B67" s="54" t="s">
        <v>118</v>
      </c>
      <c r="C67" s="51"/>
      <c r="D67" s="54" t="s">
        <v>128</v>
      </c>
      <c r="E67" s="51" t="s">
        <v>364</v>
      </c>
      <c r="F67" s="55" t="s">
        <v>365</v>
      </c>
      <c r="G67" s="56"/>
      <c r="H67" s="57"/>
      <c r="I67" s="51"/>
      <c r="J67" s="51">
        <f>427</f>
        <v>427</v>
      </c>
      <c r="K67" s="58">
        <v>3.3564814814814811E-3</v>
      </c>
      <c r="L67" s="59" t="s">
        <v>251</v>
      </c>
      <c r="M67" s="77"/>
      <c r="N67" s="77"/>
      <c r="O67" s="51"/>
      <c r="P67" s="51"/>
      <c r="Q67" s="37" t="str">
        <f t="shared" ca="1" si="0"/>
        <v/>
      </c>
      <c r="R67" s="52"/>
      <c r="S67" s="52"/>
      <c r="T67" s="52"/>
      <c r="U67" s="61"/>
      <c r="V67" s="62"/>
      <c r="W67" s="63"/>
      <c r="X67" s="64"/>
      <c r="Y67" s="51"/>
      <c r="Z67" s="54" t="s">
        <v>1038</v>
      </c>
      <c r="AA67" s="51"/>
      <c r="AB67" s="51"/>
      <c r="AH67" s="51"/>
      <c r="AI67" s="51"/>
      <c r="AJ67" s="51"/>
      <c r="AK67" s="51"/>
      <c r="AL67" s="51"/>
      <c r="AM67" s="51"/>
      <c r="AN67" s="51"/>
    </row>
    <row r="68" spans="1:40">
      <c r="A68" s="51">
        <v>50</v>
      </c>
      <c r="B68" s="54" t="s">
        <v>118</v>
      </c>
      <c r="C68" s="51"/>
      <c r="D68" s="54" t="s">
        <v>120</v>
      </c>
      <c r="E68" s="51" t="s">
        <v>412</v>
      </c>
      <c r="F68" s="55" t="s">
        <v>413</v>
      </c>
      <c r="G68" s="56"/>
      <c r="H68" s="57"/>
      <c r="I68" s="51"/>
      <c r="J68" s="51">
        <f>1.7*1000</f>
        <v>1700</v>
      </c>
      <c r="K68" s="58">
        <v>1.0266203703703703E-2</v>
      </c>
      <c r="L68" s="59" t="s">
        <v>251</v>
      </c>
      <c r="M68" s="77"/>
      <c r="N68" s="77"/>
      <c r="O68" s="51"/>
      <c r="P68" s="51"/>
      <c r="Q68" s="37" t="str">
        <f t="shared" ca="1" si="0"/>
        <v/>
      </c>
      <c r="R68" s="52"/>
      <c r="S68" s="52"/>
      <c r="T68" s="52"/>
      <c r="U68" s="61"/>
      <c r="V68" s="62"/>
      <c r="W68" s="63"/>
      <c r="X68" s="64"/>
      <c r="Y68" s="51"/>
      <c r="Z68" s="51"/>
      <c r="AA68" s="51"/>
      <c r="AB68" s="51"/>
      <c r="AH68" s="51"/>
      <c r="AI68" s="51"/>
      <c r="AJ68" s="51"/>
      <c r="AK68" s="51"/>
      <c r="AL68" s="51"/>
      <c r="AM68" s="51"/>
      <c r="AN68" s="51"/>
    </row>
    <row r="69" spans="1:40">
      <c r="A69" s="54">
        <v>50.01</v>
      </c>
      <c r="B69" s="54" t="s">
        <v>118</v>
      </c>
      <c r="C69" s="51"/>
      <c r="D69" s="54" t="s">
        <v>120</v>
      </c>
      <c r="E69" s="51"/>
      <c r="F69" s="55"/>
      <c r="G69" s="80" t="s">
        <v>827</v>
      </c>
      <c r="H69" s="76" t="s">
        <v>828</v>
      </c>
      <c r="I69" s="51"/>
      <c r="J69" s="51"/>
      <c r="K69" s="58"/>
      <c r="L69" s="59"/>
      <c r="M69" s="101">
        <v>0</v>
      </c>
      <c r="N69" s="101">
        <v>3.9814814814814817E-3</v>
      </c>
      <c r="O69" s="77">
        <f t="shared" ref="O69:O72" si="14">N69-M69</f>
        <v>3.9814814814814817E-3</v>
      </c>
      <c r="P69" s="99">
        <v>43014</v>
      </c>
      <c r="Q69" s="79" t="str">
        <f t="shared" ca="1" si="0"/>
        <v>https://www.youtube.com/embed/8qjQH_-WzyE?start=0&amp;end=344&amp;autoplay=1</v>
      </c>
      <c r="R69" s="74" t="s">
        <v>94</v>
      </c>
      <c r="S69" s="74" t="s">
        <v>116</v>
      </c>
      <c r="T69" s="74" t="s">
        <v>94</v>
      </c>
      <c r="U69" s="71"/>
      <c r="V69" s="73"/>
      <c r="W69" s="83" t="s">
        <v>292</v>
      </c>
      <c r="X69" s="64"/>
      <c r="Y69" s="51"/>
      <c r="Z69" s="51"/>
      <c r="AH69" s="51"/>
      <c r="AI69" s="51"/>
      <c r="AJ69" s="51"/>
      <c r="AK69" s="51"/>
      <c r="AL69" s="51"/>
      <c r="AM69" s="51"/>
      <c r="AN69" s="51"/>
    </row>
    <row r="70" spans="1:40">
      <c r="A70" s="54">
        <v>50.02</v>
      </c>
      <c r="B70" s="54" t="s">
        <v>118</v>
      </c>
      <c r="C70" s="51"/>
      <c r="D70" s="54" t="s">
        <v>128</v>
      </c>
      <c r="E70" s="51"/>
      <c r="F70" s="55"/>
      <c r="G70" s="80" t="s">
        <v>831</v>
      </c>
      <c r="H70" s="76" t="s">
        <v>833</v>
      </c>
      <c r="I70" s="51"/>
      <c r="J70" s="51"/>
      <c r="K70" s="58"/>
      <c r="L70" s="59"/>
      <c r="M70" s="101">
        <v>3.9930555555555552E-3</v>
      </c>
      <c r="N70" s="101">
        <v>4.7453703703703703E-3</v>
      </c>
      <c r="O70" s="77">
        <f t="shared" si="14"/>
        <v>7.5231481481481503E-4</v>
      </c>
      <c r="P70" s="99">
        <v>43014</v>
      </c>
      <c r="Q70" s="79" t="str">
        <f t="shared" ca="1" si="0"/>
        <v>https://www.youtube.com/embed/8qjQH_-WzyE?start=345&amp;end=410&amp;autoplay=1</v>
      </c>
      <c r="R70" s="74" t="s">
        <v>94</v>
      </c>
      <c r="S70" s="74" t="s">
        <v>94</v>
      </c>
      <c r="T70" s="74" t="s">
        <v>94</v>
      </c>
      <c r="U70" s="71"/>
      <c r="V70" s="73"/>
      <c r="W70" s="83" t="s">
        <v>304</v>
      </c>
      <c r="X70" s="64"/>
      <c r="Y70" s="51"/>
      <c r="Z70" s="54" t="s">
        <v>835</v>
      </c>
      <c r="AH70" s="51"/>
      <c r="AI70" s="51"/>
      <c r="AJ70" s="51"/>
      <c r="AK70" s="51"/>
      <c r="AL70" s="51"/>
      <c r="AM70" s="51"/>
      <c r="AN70" s="51"/>
    </row>
    <row r="71" spans="1:40">
      <c r="A71" s="54">
        <v>50.03</v>
      </c>
      <c r="B71" s="54" t="s">
        <v>118</v>
      </c>
      <c r="C71" s="51"/>
      <c r="D71" s="54" t="s">
        <v>120</v>
      </c>
      <c r="E71" s="51"/>
      <c r="F71" s="55"/>
      <c r="G71" s="80" t="s">
        <v>838</v>
      </c>
      <c r="H71" s="76" t="s">
        <v>839</v>
      </c>
      <c r="I71" s="51"/>
      <c r="J71" s="51"/>
      <c r="K71" s="58"/>
      <c r="L71" s="59"/>
      <c r="M71" s="101">
        <v>4.7569444444444447E-3</v>
      </c>
      <c r="N71" s="101">
        <v>7.1759259259259259E-3</v>
      </c>
      <c r="O71" s="77">
        <f t="shared" si="14"/>
        <v>2.4189814814814812E-3</v>
      </c>
      <c r="P71" s="99">
        <v>43014</v>
      </c>
      <c r="Q71" s="79" t="str">
        <f t="shared" ca="1" si="0"/>
        <v>https://www.youtube.com/embed/8qjQH_-WzyE?start=411&amp;end=620&amp;autoplay=1</v>
      </c>
      <c r="R71" s="74" t="s">
        <v>94</v>
      </c>
      <c r="S71" s="74" t="s">
        <v>94</v>
      </c>
      <c r="T71" s="74" t="s">
        <v>94</v>
      </c>
      <c r="U71" s="71"/>
      <c r="V71" s="73"/>
      <c r="W71" s="83" t="s">
        <v>292</v>
      </c>
      <c r="X71" s="64"/>
      <c r="Y71" s="51"/>
      <c r="Z71" s="51"/>
      <c r="AH71" s="51"/>
      <c r="AI71" s="51"/>
      <c r="AJ71" s="51"/>
      <c r="AK71" s="51"/>
      <c r="AL71" s="51"/>
      <c r="AM71" s="51"/>
      <c r="AN71" s="51"/>
    </row>
    <row r="72" spans="1:40">
      <c r="A72" s="54">
        <v>50.04</v>
      </c>
      <c r="B72" s="54" t="s">
        <v>118</v>
      </c>
      <c r="C72" s="51"/>
      <c r="D72" s="54" t="s">
        <v>120</v>
      </c>
      <c r="E72" s="51"/>
      <c r="F72" s="55"/>
      <c r="G72" s="80" t="s">
        <v>842</v>
      </c>
      <c r="H72" s="76" t="s">
        <v>843</v>
      </c>
      <c r="I72" s="51"/>
      <c r="J72" s="51"/>
      <c r="K72" s="58"/>
      <c r="L72" s="59"/>
      <c r="M72" s="101">
        <v>7.1875000000000003E-3</v>
      </c>
      <c r="N72" s="101">
        <v>9.4212962962962957E-3</v>
      </c>
      <c r="O72" s="77">
        <f t="shared" si="14"/>
        <v>2.2337962962962954E-3</v>
      </c>
      <c r="P72" s="99">
        <v>43014</v>
      </c>
      <c r="Q72" s="79" t="str">
        <f t="shared" ca="1" si="0"/>
        <v>https://www.youtube.com/embed/8qjQH_-WzyE?start=621&amp;end=814&amp;autoplay=1</v>
      </c>
      <c r="R72" s="74" t="s">
        <v>94</v>
      </c>
      <c r="S72" s="74" t="s">
        <v>94</v>
      </c>
      <c r="T72" s="74" t="s">
        <v>94</v>
      </c>
      <c r="U72" s="71"/>
      <c r="V72" s="73"/>
      <c r="W72" s="83" t="s">
        <v>292</v>
      </c>
      <c r="X72" s="64"/>
      <c r="Y72" s="51"/>
      <c r="Z72" s="51"/>
      <c r="AH72" s="51"/>
      <c r="AI72" s="51"/>
      <c r="AJ72" s="51"/>
      <c r="AK72" s="51"/>
      <c r="AL72" s="51"/>
      <c r="AM72" s="51"/>
      <c r="AN72" s="51"/>
    </row>
    <row r="73" spans="1:40">
      <c r="A73" s="51">
        <v>51</v>
      </c>
      <c r="B73" s="54" t="s">
        <v>118</v>
      </c>
      <c r="C73" s="51"/>
      <c r="D73" s="54" t="s">
        <v>120</v>
      </c>
      <c r="E73" s="51" t="s">
        <v>418</v>
      </c>
      <c r="F73" s="55" t="s">
        <v>419</v>
      </c>
      <c r="G73" s="56"/>
      <c r="H73" s="57"/>
      <c r="I73" s="51"/>
      <c r="J73" s="51">
        <f>679</f>
        <v>679</v>
      </c>
      <c r="K73" s="58">
        <v>6.0879629629629643E-3</v>
      </c>
      <c r="L73" s="59" t="s">
        <v>251</v>
      </c>
      <c r="M73" s="77"/>
      <c r="N73" s="77"/>
      <c r="O73" s="51"/>
      <c r="P73" s="96">
        <v>43015</v>
      </c>
      <c r="Q73" s="37" t="str">
        <f t="shared" ca="1" si="0"/>
        <v/>
      </c>
      <c r="R73" s="52"/>
      <c r="S73" s="52"/>
      <c r="T73" s="52"/>
      <c r="U73" s="61"/>
      <c r="V73" s="62"/>
      <c r="W73" s="63"/>
      <c r="X73" s="64"/>
      <c r="Y73" s="51"/>
      <c r="Z73" s="51"/>
      <c r="AA73" s="51"/>
      <c r="AB73" s="51"/>
      <c r="AH73" s="51"/>
      <c r="AI73" s="51"/>
      <c r="AJ73" s="51"/>
      <c r="AK73" s="51"/>
      <c r="AL73" s="51"/>
      <c r="AM73" s="51"/>
      <c r="AN73" s="51"/>
    </row>
    <row r="74" spans="1:40">
      <c r="A74" s="54">
        <v>51.01</v>
      </c>
      <c r="B74" s="54" t="s">
        <v>118</v>
      </c>
      <c r="C74" s="51"/>
      <c r="D74" s="54" t="s">
        <v>120</v>
      </c>
      <c r="E74" s="51"/>
      <c r="F74" s="55"/>
      <c r="G74" s="80" t="s">
        <v>848</v>
      </c>
      <c r="H74" s="76" t="s">
        <v>849</v>
      </c>
      <c r="I74" s="51"/>
      <c r="J74" s="51"/>
      <c r="K74" s="58"/>
      <c r="L74" s="59"/>
      <c r="M74" s="101">
        <v>0</v>
      </c>
      <c r="N74" s="101">
        <v>4.6874999999999998E-3</v>
      </c>
      <c r="O74" s="77">
        <f>N74-M74</f>
        <v>4.6874999999999998E-3</v>
      </c>
      <c r="P74" s="96">
        <v>43016</v>
      </c>
      <c r="Q74" s="79" t="str">
        <f t="shared" ca="1" si="0"/>
        <v>https://www.youtube.com/embed/vHWsmGyjOk0?start=0&amp;end=405&amp;autoplay=1</v>
      </c>
      <c r="R74" s="74" t="s">
        <v>94</v>
      </c>
      <c r="S74" s="74" t="s">
        <v>94</v>
      </c>
      <c r="T74" s="74" t="s">
        <v>94</v>
      </c>
      <c r="U74" s="71"/>
      <c r="V74" s="73"/>
      <c r="W74" s="83" t="s">
        <v>292</v>
      </c>
      <c r="X74" s="64"/>
      <c r="Y74" s="51"/>
      <c r="Z74" s="54" t="s">
        <v>853</v>
      </c>
      <c r="AH74" s="51"/>
      <c r="AI74" s="51"/>
      <c r="AJ74" s="51"/>
      <c r="AK74" s="51"/>
      <c r="AL74" s="51"/>
      <c r="AM74" s="51"/>
      <c r="AN74" s="51"/>
    </row>
    <row r="75" spans="1:40">
      <c r="A75" s="124">
        <v>52</v>
      </c>
      <c r="B75" s="122" t="s">
        <v>118</v>
      </c>
      <c r="C75" s="124"/>
      <c r="D75" s="122" t="s">
        <v>120</v>
      </c>
      <c r="E75" s="124" t="s">
        <v>424</v>
      </c>
      <c r="F75" s="125" t="s">
        <v>425</v>
      </c>
      <c r="G75" s="126"/>
      <c r="H75" s="127"/>
      <c r="I75" s="124"/>
      <c r="J75" s="124">
        <f>928</f>
        <v>928</v>
      </c>
      <c r="K75" s="128">
        <v>0.01</v>
      </c>
      <c r="L75" s="129" t="s">
        <v>251</v>
      </c>
      <c r="M75" s="130"/>
      <c r="N75" s="130"/>
      <c r="O75" s="124"/>
      <c r="P75" s="131"/>
      <c r="Q75" s="132" t="str">
        <f t="shared" ca="1" si="0"/>
        <v/>
      </c>
      <c r="R75" s="124"/>
      <c r="S75" s="124"/>
      <c r="T75" s="124"/>
      <c r="U75" s="124"/>
      <c r="V75" s="124"/>
      <c r="W75" s="124"/>
      <c r="X75" s="124"/>
      <c r="Y75" s="124"/>
      <c r="Z75" s="124"/>
      <c r="AA75" s="124"/>
      <c r="AB75" s="124"/>
      <c r="AC75" s="133"/>
      <c r="AD75" s="133"/>
      <c r="AE75" s="133"/>
      <c r="AF75" s="133"/>
      <c r="AG75" s="133"/>
      <c r="AH75" s="124"/>
      <c r="AI75" s="124"/>
      <c r="AJ75" s="124"/>
      <c r="AK75" s="124"/>
      <c r="AL75" s="124"/>
      <c r="AM75" s="124"/>
      <c r="AN75" s="124"/>
    </row>
    <row r="76" spans="1:40">
      <c r="A76" s="54">
        <v>52.01</v>
      </c>
      <c r="B76" s="54" t="s">
        <v>118</v>
      </c>
      <c r="C76" s="51"/>
      <c r="D76" s="122" t="s">
        <v>120</v>
      </c>
      <c r="E76" s="51"/>
      <c r="F76" s="55"/>
      <c r="G76" s="80" t="s">
        <v>859</v>
      </c>
      <c r="H76" s="76" t="s">
        <v>860</v>
      </c>
      <c r="I76" s="51"/>
      <c r="J76" s="51"/>
      <c r="K76" s="58"/>
      <c r="L76" s="59"/>
      <c r="M76" s="101">
        <v>0</v>
      </c>
      <c r="N76" s="101">
        <v>3.1712962962962962E-3</v>
      </c>
      <c r="O76" s="77">
        <f t="shared" ref="O76:O77" si="15">N76-M76</f>
        <v>3.1712962962962962E-3</v>
      </c>
      <c r="P76" s="96">
        <v>43016</v>
      </c>
      <c r="Q76" s="79" t="str">
        <f t="shared" ca="1" si="0"/>
        <v>https://www.youtube.com/embed/-udb2VYB5uo?start=0&amp;end=274&amp;autoplay=1</v>
      </c>
      <c r="R76" s="74" t="s">
        <v>94</v>
      </c>
      <c r="S76" s="74" t="s">
        <v>94</v>
      </c>
      <c r="T76" s="74" t="s">
        <v>94</v>
      </c>
      <c r="U76" s="71"/>
      <c r="V76" s="73"/>
      <c r="W76" s="83" t="s">
        <v>292</v>
      </c>
      <c r="X76" s="64"/>
      <c r="Y76" s="51"/>
      <c r="Z76" s="51"/>
      <c r="AH76" s="51"/>
      <c r="AI76" s="51"/>
      <c r="AJ76" s="51"/>
      <c r="AK76" s="51"/>
      <c r="AL76" s="51"/>
      <c r="AM76" s="51"/>
      <c r="AN76" s="51"/>
    </row>
    <row r="77" spans="1:40">
      <c r="A77" s="54">
        <v>52.02</v>
      </c>
      <c r="B77" s="54" t="s">
        <v>118</v>
      </c>
      <c r="C77" s="51"/>
      <c r="D77" s="122" t="s">
        <v>120</v>
      </c>
      <c r="E77" s="51"/>
      <c r="F77" s="55"/>
      <c r="G77" s="80" t="s">
        <v>863</v>
      </c>
      <c r="H77" s="76" t="s">
        <v>864</v>
      </c>
      <c r="I77" s="51"/>
      <c r="J77" s="51"/>
      <c r="K77" s="58"/>
      <c r="L77" s="59"/>
      <c r="M77" s="101">
        <v>3.1828703703703702E-3</v>
      </c>
      <c r="N77" s="101">
        <v>9.9884259259259266E-3</v>
      </c>
      <c r="O77" s="77">
        <f t="shared" si="15"/>
        <v>6.805555555555556E-3</v>
      </c>
      <c r="P77" s="96">
        <v>43016</v>
      </c>
      <c r="Q77" s="79" t="str">
        <f t="shared" ca="1" si="0"/>
        <v>https://www.youtube.com/embed/-udb2VYB5uo?start=275&amp;end=863&amp;autoplay=1</v>
      </c>
      <c r="R77" s="74" t="s">
        <v>94</v>
      </c>
      <c r="S77" s="74" t="s">
        <v>94</v>
      </c>
      <c r="T77" s="74" t="s">
        <v>94</v>
      </c>
      <c r="U77" s="71"/>
      <c r="V77" s="73"/>
      <c r="W77" s="83" t="s">
        <v>292</v>
      </c>
      <c r="X77" s="64"/>
      <c r="Y77" s="51"/>
      <c r="Z77" s="51"/>
      <c r="AH77" s="51"/>
      <c r="AI77" s="51"/>
      <c r="AJ77" s="51"/>
      <c r="AK77" s="51"/>
      <c r="AL77" s="51"/>
      <c r="AM77" s="51"/>
      <c r="AN77" s="51"/>
    </row>
    <row r="78" spans="1:40">
      <c r="A78" s="51">
        <v>53</v>
      </c>
      <c r="B78" s="69" t="s">
        <v>118</v>
      </c>
      <c r="C78" s="61"/>
      <c r="D78" s="54" t="s">
        <v>120</v>
      </c>
      <c r="E78" s="51" t="s">
        <v>430</v>
      </c>
      <c r="F78" s="55" t="s">
        <v>431</v>
      </c>
      <c r="G78" s="56"/>
      <c r="H78" s="57"/>
      <c r="I78" s="51"/>
      <c r="J78" s="51">
        <f>961</f>
        <v>961</v>
      </c>
      <c r="K78" s="58">
        <v>8.9814814814814809E-3</v>
      </c>
      <c r="L78" s="59" t="s">
        <v>251</v>
      </c>
      <c r="M78" s="77"/>
      <c r="N78" s="77"/>
      <c r="O78" s="51"/>
      <c r="P78" s="51"/>
      <c r="Q78" s="37" t="str">
        <f t="shared" ca="1" si="0"/>
        <v/>
      </c>
      <c r="R78" s="52"/>
      <c r="S78" s="52"/>
      <c r="T78" s="52"/>
      <c r="U78" s="61"/>
      <c r="V78" s="62"/>
      <c r="W78" s="63"/>
      <c r="X78" s="64"/>
      <c r="Y78" s="51"/>
      <c r="Z78" s="51"/>
      <c r="AA78" s="51"/>
      <c r="AB78" s="51"/>
      <c r="AH78" s="51"/>
      <c r="AI78" s="51"/>
      <c r="AJ78" s="51"/>
      <c r="AK78" s="51"/>
      <c r="AL78" s="51"/>
      <c r="AM78" s="51"/>
      <c r="AN78" s="51"/>
    </row>
    <row r="79" spans="1:40">
      <c r="A79" s="54">
        <v>53.01</v>
      </c>
      <c r="B79" s="54" t="s">
        <v>118</v>
      </c>
      <c r="C79" s="54"/>
      <c r="D79" s="54" t="s">
        <v>120</v>
      </c>
      <c r="E79" s="51"/>
      <c r="F79" s="55"/>
      <c r="G79" s="80" t="s">
        <v>643</v>
      </c>
      <c r="H79" s="76" t="s">
        <v>871</v>
      </c>
      <c r="I79" s="51"/>
      <c r="J79" s="51"/>
      <c r="K79" s="58"/>
      <c r="L79" s="59"/>
      <c r="M79" s="123">
        <v>0</v>
      </c>
      <c r="N79" s="101">
        <v>2.1990740740740742E-3</v>
      </c>
      <c r="O79" s="77">
        <f t="shared" ref="O79:O82" si="16">N79-M79</f>
        <v>2.1990740740740742E-3</v>
      </c>
      <c r="P79" s="96">
        <v>43017</v>
      </c>
      <c r="Q79" s="79" t="str">
        <f t="shared" ca="1" si="0"/>
        <v>https://www.youtube.com/embed/f-MLHIb4dFU?start=0&amp;end=190&amp;autoplay=1</v>
      </c>
      <c r="R79" s="74" t="s">
        <v>94</v>
      </c>
      <c r="S79" s="74" t="s">
        <v>94</v>
      </c>
      <c r="T79" s="74" t="s">
        <v>94</v>
      </c>
      <c r="U79" s="71"/>
      <c r="V79" s="73"/>
      <c r="W79" s="102" t="s">
        <v>292</v>
      </c>
      <c r="X79" s="64"/>
      <c r="Y79" s="51"/>
      <c r="Z79" s="54" t="s">
        <v>874</v>
      </c>
      <c r="AH79" s="51"/>
      <c r="AI79" s="51"/>
      <c r="AJ79" s="51"/>
      <c r="AK79" s="51"/>
      <c r="AL79" s="51"/>
      <c r="AM79" s="51"/>
      <c r="AN79" s="51"/>
    </row>
    <row r="80" spans="1:40">
      <c r="A80" s="54">
        <v>53.02</v>
      </c>
      <c r="B80" s="54" t="s">
        <v>118</v>
      </c>
      <c r="C80" s="51"/>
      <c r="D80" s="54" t="s">
        <v>120</v>
      </c>
      <c r="E80" s="51"/>
      <c r="F80" s="55"/>
      <c r="G80" s="80" t="s">
        <v>875</v>
      </c>
      <c r="H80" s="57" t="s">
        <v>427</v>
      </c>
      <c r="I80" s="51"/>
      <c r="J80" s="51"/>
      <c r="K80" s="58"/>
      <c r="L80" s="59"/>
      <c r="M80" s="101">
        <v>3.1712962962962962E-3</v>
      </c>
      <c r="N80" s="101">
        <v>4.8148148148148152E-3</v>
      </c>
      <c r="O80" s="77">
        <f t="shared" si="16"/>
        <v>1.643518518518519E-3</v>
      </c>
      <c r="P80" s="96">
        <v>43017</v>
      </c>
      <c r="Q80" s="79" t="str">
        <f t="shared" ca="1" si="0"/>
        <v>https://www.youtube.com/embed/f-MLHIb4dFU?start=274&amp;end=416&amp;autoplay=1</v>
      </c>
      <c r="R80" s="74" t="s">
        <v>94</v>
      </c>
      <c r="S80" s="74" t="s">
        <v>94</v>
      </c>
      <c r="T80" s="74" t="s">
        <v>94</v>
      </c>
      <c r="U80" s="71"/>
      <c r="V80" s="73"/>
      <c r="W80" s="102" t="s">
        <v>292</v>
      </c>
      <c r="X80" s="64"/>
      <c r="Y80" s="51"/>
      <c r="Z80" s="54" t="s">
        <v>878</v>
      </c>
      <c r="AH80" s="51"/>
      <c r="AI80" s="51"/>
      <c r="AJ80" s="51"/>
      <c r="AK80" s="51"/>
      <c r="AL80" s="51"/>
      <c r="AM80" s="51"/>
      <c r="AN80" s="51"/>
    </row>
    <row r="81" spans="1:40">
      <c r="A81" s="54">
        <v>53.03</v>
      </c>
      <c r="B81" s="54" t="s">
        <v>118</v>
      </c>
      <c r="C81" s="51"/>
      <c r="D81" s="54" t="s">
        <v>120</v>
      </c>
      <c r="E81" s="51"/>
      <c r="F81" s="55"/>
      <c r="G81" s="80" t="s">
        <v>881</v>
      </c>
      <c r="H81" s="76" t="s">
        <v>882</v>
      </c>
      <c r="I81" s="51"/>
      <c r="J81" s="51"/>
      <c r="K81" s="58"/>
      <c r="L81" s="59"/>
      <c r="M81" s="101">
        <v>6.5277777777777782E-3</v>
      </c>
      <c r="N81" s="101">
        <v>7.060185185185185E-3</v>
      </c>
      <c r="O81" s="77">
        <f t="shared" si="16"/>
        <v>5.3240740740740679E-4</v>
      </c>
      <c r="P81" s="96">
        <v>43017</v>
      </c>
      <c r="Q81" s="79" t="str">
        <f t="shared" ca="1" si="0"/>
        <v>https://www.youtube.com/embed/f-MLHIb4dFU?start=564&amp;end=610&amp;autoplay=1</v>
      </c>
      <c r="R81" s="74" t="s">
        <v>94</v>
      </c>
      <c r="S81" s="74" t="s">
        <v>94</v>
      </c>
      <c r="T81" s="74" t="s">
        <v>94</v>
      </c>
      <c r="U81" s="71"/>
      <c r="V81" s="73"/>
      <c r="W81" s="102" t="s">
        <v>292</v>
      </c>
      <c r="X81" s="64"/>
      <c r="Y81" s="51"/>
      <c r="Z81" s="51"/>
      <c r="AH81" s="51"/>
      <c r="AI81" s="51"/>
      <c r="AJ81" s="51"/>
      <c r="AK81" s="51"/>
      <c r="AL81" s="51"/>
      <c r="AM81" s="51"/>
      <c r="AN81" s="51"/>
    </row>
    <row r="82" spans="1:40">
      <c r="A82" s="54">
        <v>53.04</v>
      </c>
      <c r="B82" s="54" t="s">
        <v>118</v>
      </c>
      <c r="C82" s="51"/>
      <c r="D82" s="54" t="s">
        <v>120</v>
      </c>
      <c r="E82" s="51"/>
      <c r="F82" s="55"/>
      <c r="G82" s="56" t="s">
        <v>595</v>
      </c>
      <c r="H82" s="76" t="s">
        <v>597</v>
      </c>
      <c r="I82" s="51"/>
      <c r="J82" s="51"/>
      <c r="K82" s="58"/>
      <c r="L82" s="59"/>
      <c r="M82" s="101">
        <v>7.2337962962962963E-3</v>
      </c>
      <c r="N82" s="101">
        <v>8.2754629629629636E-3</v>
      </c>
      <c r="O82" s="77">
        <f t="shared" si="16"/>
        <v>1.0416666666666673E-3</v>
      </c>
      <c r="P82" s="96">
        <v>43017</v>
      </c>
      <c r="Q82" s="79" t="str">
        <f t="shared" ca="1" si="0"/>
        <v>https://www.youtube.com/embed/f-MLHIb4dFU?start=625&amp;end=715&amp;autoplay=1</v>
      </c>
      <c r="R82" s="74" t="s">
        <v>94</v>
      </c>
      <c r="S82" s="74" t="s">
        <v>94</v>
      </c>
      <c r="T82" s="74" t="s">
        <v>94</v>
      </c>
      <c r="U82" s="71"/>
      <c r="V82" s="73"/>
      <c r="W82" s="102" t="s">
        <v>292</v>
      </c>
      <c r="X82" s="64"/>
      <c r="Y82" s="51"/>
      <c r="Z82" s="54" t="s">
        <v>887</v>
      </c>
      <c r="AH82" s="51"/>
      <c r="AI82" s="51"/>
      <c r="AJ82" s="51"/>
      <c r="AK82" s="51"/>
      <c r="AL82" s="51"/>
      <c r="AM82" s="51"/>
      <c r="AN82" s="51"/>
    </row>
    <row r="83" spans="1:40">
      <c r="A83" s="51"/>
      <c r="B83" s="51"/>
      <c r="C83" s="51"/>
      <c r="D83" s="51"/>
      <c r="E83" s="51"/>
      <c r="F83" s="55"/>
      <c r="G83" s="56"/>
      <c r="H83" s="57"/>
      <c r="I83" s="51"/>
      <c r="J83" s="51"/>
      <c r="K83" s="58"/>
      <c r="L83" s="59"/>
      <c r="M83" s="58"/>
      <c r="N83" s="58"/>
      <c r="O83" s="51"/>
      <c r="P83" s="51"/>
      <c r="Q83" s="37"/>
      <c r="R83" s="70"/>
      <c r="S83" s="70"/>
      <c r="T83" s="70"/>
      <c r="U83" s="71"/>
      <c r="V83" s="73"/>
      <c r="W83" s="75"/>
      <c r="X83" s="64"/>
      <c r="Y83" s="51"/>
      <c r="Z83" s="51"/>
      <c r="AH83" s="51"/>
      <c r="AI83" s="51"/>
      <c r="AJ83" s="51"/>
      <c r="AK83" s="51"/>
      <c r="AL83" s="51"/>
      <c r="AM83" s="51"/>
      <c r="AN83" s="51"/>
    </row>
    <row r="84" spans="1:40">
      <c r="A84" s="51"/>
      <c r="B84" s="51"/>
      <c r="C84" s="54"/>
      <c r="D84" s="51"/>
      <c r="E84" s="51"/>
      <c r="F84" s="55"/>
      <c r="G84" s="56"/>
      <c r="H84" s="57"/>
      <c r="I84" s="51"/>
      <c r="J84" s="51"/>
      <c r="K84" s="58"/>
      <c r="L84" s="59"/>
      <c r="M84" s="58"/>
      <c r="N84" s="58"/>
      <c r="O84" s="51"/>
      <c r="P84" s="51"/>
      <c r="Q84" s="37"/>
      <c r="R84" s="70"/>
      <c r="S84" s="70"/>
      <c r="T84" s="70"/>
      <c r="U84" s="71"/>
      <c r="V84" s="73"/>
      <c r="W84" s="75"/>
      <c r="X84" s="64"/>
      <c r="Y84" s="51"/>
      <c r="Z84" s="51"/>
      <c r="AH84" s="51"/>
      <c r="AI84" s="51"/>
      <c r="AJ84" s="51"/>
      <c r="AK84" s="51"/>
      <c r="AL84" s="51"/>
      <c r="AM84" s="51"/>
      <c r="AN84" s="51"/>
    </row>
    <row r="85" spans="1:40">
      <c r="A85" s="51"/>
      <c r="B85" s="51"/>
      <c r="C85" s="51"/>
      <c r="D85" s="51"/>
      <c r="E85" s="51"/>
      <c r="F85" s="55"/>
      <c r="G85" s="56"/>
      <c r="H85" s="57"/>
      <c r="I85" s="51"/>
      <c r="J85" s="51"/>
      <c r="K85" s="58"/>
      <c r="L85" s="59"/>
      <c r="M85" s="58"/>
      <c r="N85" s="58"/>
      <c r="O85" s="51"/>
      <c r="P85" s="51"/>
      <c r="Q85" s="37"/>
      <c r="R85" s="70"/>
      <c r="S85" s="70"/>
      <c r="T85" s="70"/>
      <c r="U85" s="71"/>
      <c r="V85" s="73"/>
      <c r="W85" s="75"/>
      <c r="X85" s="64"/>
      <c r="Y85" s="51"/>
      <c r="Z85" s="51"/>
      <c r="AH85" s="51"/>
      <c r="AI85" s="51"/>
      <c r="AJ85" s="51"/>
      <c r="AK85" s="51"/>
      <c r="AL85" s="51"/>
      <c r="AM85" s="51"/>
      <c r="AN85" s="51"/>
    </row>
    <row r="86" spans="1:40">
      <c r="A86" s="51"/>
      <c r="B86" s="51"/>
      <c r="C86" s="51"/>
      <c r="D86" s="51"/>
      <c r="E86" s="51"/>
      <c r="F86" s="55"/>
      <c r="G86" s="56"/>
      <c r="H86" s="57"/>
      <c r="I86" s="51"/>
      <c r="J86" s="51"/>
      <c r="K86" s="58"/>
      <c r="L86" s="59"/>
      <c r="M86" s="58"/>
      <c r="N86" s="58"/>
      <c r="O86" s="51"/>
      <c r="P86" s="51"/>
      <c r="Q86" s="37"/>
      <c r="R86" s="70"/>
      <c r="S86" s="70"/>
      <c r="T86" s="70"/>
      <c r="U86" s="71"/>
      <c r="V86" s="73"/>
      <c r="W86" s="75"/>
      <c r="X86" s="64"/>
      <c r="Y86" s="51"/>
      <c r="Z86" s="51"/>
      <c r="AH86" s="51"/>
      <c r="AI86" s="51"/>
      <c r="AJ86" s="51"/>
      <c r="AK86" s="51"/>
      <c r="AL86" s="51"/>
      <c r="AM86" s="51"/>
      <c r="AN86" s="51"/>
    </row>
    <row r="87" spans="1:40">
      <c r="A87" s="51"/>
      <c r="B87" s="51"/>
      <c r="C87" s="51"/>
      <c r="D87" s="51"/>
      <c r="E87" s="51"/>
      <c r="F87" s="55"/>
      <c r="G87" s="56"/>
      <c r="H87" s="57"/>
      <c r="I87" s="51"/>
      <c r="J87" s="51"/>
      <c r="K87" s="58"/>
      <c r="L87" s="59"/>
      <c r="M87" s="58"/>
      <c r="N87" s="58"/>
      <c r="O87" s="51"/>
      <c r="P87" s="51"/>
      <c r="Q87" s="37"/>
      <c r="R87" s="70"/>
      <c r="S87" s="70"/>
      <c r="T87" s="70"/>
      <c r="U87" s="71"/>
      <c r="V87" s="73"/>
      <c r="W87" s="75"/>
      <c r="X87" s="64"/>
      <c r="Y87" s="51"/>
      <c r="Z87" s="51"/>
      <c r="AH87" s="51"/>
      <c r="AI87" s="51"/>
      <c r="AJ87" s="51"/>
      <c r="AK87" s="51"/>
      <c r="AL87" s="51"/>
      <c r="AM87" s="51"/>
      <c r="AN87" s="51"/>
    </row>
    <row r="88" spans="1:40">
      <c r="A88" s="51"/>
      <c r="B88" s="51"/>
      <c r="C88" s="51"/>
      <c r="D88" s="51"/>
      <c r="E88" s="51"/>
      <c r="F88" s="55"/>
      <c r="G88" s="56"/>
      <c r="H88" s="57"/>
      <c r="I88" s="51"/>
      <c r="J88" s="51"/>
      <c r="K88" s="58"/>
      <c r="L88" s="59"/>
      <c r="M88" s="58"/>
      <c r="N88" s="58"/>
      <c r="O88" s="51"/>
      <c r="P88" s="51"/>
      <c r="Q88" s="37"/>
      <c r="R88" s="70"/>
      <c r="S88" s="70"/>
      <c r="T88" s="70"/>
      <c r="U88" s="71"/>
      <c r="V88" s="73"/>
      <c r="W88" s="75"/>
      <c r="X88" s="64"/>
      <c r="Y88" s="51"/>
      <c r="Z88" s="51"/>
      <c r="AH88" s="51"/>
      <c r="AI88" s="51"/>
      <c r="AJ88" s="51"/>
      <c r="AK88" s="51"/>
      <c r="AL88" s="51"/>
      <c r="AM88" s="51"/>
      <c r="AN88" s="51"/>
    </row>
    <row r="89" spans="1:40">
      <c r="A89" s="51"/>
      <c r="B89" s="51"/>
      <c r="C89" s="51"/>
      <c r="D89" s="51"/>
      <c r="E89" s="51"/>
      <c r="F89" s="55"/>
      <c r="G89" s="56"/>
      <c r="H89" s="57"/>
      <c r="I89" s="51"/>
      <c r="J89" s="51"/>
      <c r="K89" s="58"/>
      <c r="L89" s="59"/>
      <c r="M89" s="58"/>
      <c r="N89" s="58"/>
      <c r="O89" s="51"/>
      <c r="P89" s="51"/>
      <c r="Q89" s="37"/>
      <c r="R89" s="70"/>
      <c r="S89" s="70"/>
      <c r="T89" s="70"/>
      <c r="U89" s="71"/>
      <c r="V89" s="73"/>
      <c r="W89" s="75"/>
      <c r="X89" s="64"/>
      <c r="Y89" s="51"/>
      <c r="Z89" s="51"/>
      <c r="AH89" s="51"/>
      <c r="AI89" s="51"/>
      <c r="AJ89" s="51"/>
      <c r="AK89" s="51"/>
      <c r="AL89" s="51"/>
      <c r="AM89" s="51"/>
      <c r="AN89" s="51"/>
    </row>
    <row r="90" spans="1:40">
      <c r="A90" s="51"/>
      <c r="B90" s="51"/>
      <c r="C90" s="51"/>
      <c r="D90" s="51"/>
      <c r="E90" s="51"/>
      <c r="F90" s="55"/>
      <c r="G90" s="56"/>
      <c r="H90" s="57"/>
      <c r="I90" s="51"/>
      <c r="J90" s="51"/>
      <c r="K90" s="58"/>
      <c r="L90" s="59"/>
      <c r="M90" s="58"/>
      <c r="N90" s="58"/>
      <c r="O90" s="51"/>
      <c r="P90" s="51"/>
      <c r="Q90" s="37"/>
      <c r="R90" s="70"/>
      <c r="S90" s="70"/>
      <c r="T90" s="70"/>
      <c r="U90" s="71"/>
      <c r="V90" s="73"/>
      <c r="W90" s="75"/>
      <c r="X90" s="64"/>
      <c r="Y90" s="51"/>
      <c r="Z90" s="51"/>
      <c r="AH90" s="51"/>
      <c r="AI90" s="51"/>
      <c r="AJ90" s="51"/>
      <c r="AK90" s="51"/>
      <c r="AL90" s="51"/>
      <c r="AM90" s="51"/>
      <c r="AN90" s="51"/>
    </row>
    <row r="91" spans="1:40">
      <c r="A91" s="51"/>
      <c r="B91" s="51"/>
      <c r="C91" s="51"/>
      <c r="D91" s="51"/>
      <c r="E91" s="51"/>
      <c r="F91" s="55"/>
      <c r="G91" s="56"/>
      <c r="H91" s="57"/>
      <c r="I91" s="51"/>
      <c r="J91" s="51"/>
      <c r="K91" s="58"/>
      <c r="L91" s="59"/>
      <c r="M91" s="58"/>
      <c r="N91" s="58"/>
      <c r="O91" s="51"/>
      <c r="P91" s="51"/>
      <c r="Q91" s="37"/>
      <c r="R91" s="70"/>
      <c r="S91" s="70"/>
      <c r="T91" s="70"/>
      <c r="U91" s="71"/>
      <c r="V91" s="73"/>
      <c r="W91" s="75"/>
      <c r="X91" s="64"/>
      <c r="Y91" s="51"/>
      <c r="Z91" s="51"/>
      <c r="AH91" s="51"/>
      <c r="AI91" s="51"/>
      <c r="AJ91" s="51"/>
      <c r="AK91" s="51"/>
      <c r="AL91" s="51"/>
      <c r="AM91" s="51"/>
      <c r="AN91" s="51"/>
    </row>
    <row r="92" spans="1:40">
      <c r="A92" s="51"/>
      <c r="B92" s="51"/>
      <c r="C92" s="51"/>
      <c r="D92" s="51"/>
      <c r="E92" s="51"/>
      <c r="F92" s="55"/>
      <c r="G92" s="56"/>
      <c r="H92" s="57"/>
      <c r="I92" s="51"/>
      <c r="J92" s="51"/>
      <c r="K92" s="58"/>
      <c r="L92" s="59"/>
      <c r="M92" s="58"/>
      <c r="N92" s="58"/>
      <c r="O92" s="51"/>
      <c r="P92" s="51"/>
      <c r="Q92" s="37"/>
      <c r="R92" s="70"/>
      <c r="S92" s="70"/>
      <c r="T92" s="70"/>
      <c r="U92" s="71"/>
      <c r="V92" s="73"/>
      <c r="W92" s="75"/>
      <c r="X92" s="64"/>
      <c r="Y92" s="51"/>
      <c r="Z92" s="51"/>
      <c r="AH92" s="51"/>
      <c r="AI92" s="51"/>
      <c r="AJ92" s="51"/>
      <c r="AK92" s="51"/>
      <c r="AL92" s="51"/>
      <c r="AM92" s="51"/>
      <c r="AN92" s="51"/>
    </row>
    <row r="93" spans="1:40">
      <c r="A93" s="51"/>
      <c r="B93" s="51"/>
      <c r="C93" s="51"/>
      <c r="D93" s="51"/>
      <c r="E93" s="51"/>
      <c r="F93" s="55"/>
      <c r="G93" s="56"/>
      <c r="H93" s="57"/>
      <c r="I93" s="51"/>
      <c r="J93" s="51"/>
      <c r="K93" s="58"/>
      <c r="L93" s="59"/>
      <c r="M93" s="58"/>
      <c r="N93" s="58"/>
      <c r="O93" s="51"/>
      <c r="P93" s="51"/>
      <c r="Q93" s="37"/>
      <c r="R93" s="70"/>
      <c r="S93" s="70"/>
      <c r="T93" s="70"/>
      <c r="U93" s="71"/>
      <c r="V93" s="73"/>
      <c r="W93" s="75"/>
      <c r="X93" s="64"/>
      <c r="Y93" s="51"/>
      <c r="Z93" s="51"/>
      <c r="AH93" s="51"/>
      <c r="AI93" s="51"/>
      <c r="AJ93" s="51"/>
      <c r="AK93" s="51"/>
      <c r="AL93" s="51"/>
      <c r="AM93" s="51"/>
      <c r="AN93" s="51"/>
    </row>
    <row r="94" spans="1:40">
      <c r="A94" s="51"/>
      <c r="B94" s="51"/>
      <c r="C94" s="51"/>
      <c r="D94" s="51"/>
      <c r="E94" s="51"/>
      <c r="F94" s="55"/>
      <c r="G94" s="56"/>
      <c r="H94" s="57"/>
      <c r="I94" s="51"/>
      <c r="J94" s="51"/>
      <c r="K94" s="58"/>
      <c r="L94" s="59"/>
      <c r="M94" s="58"/>
      <c r="N94" s="58"/>
      <c r="O94" s="51"/>
      <c r="P94" s="51"/>
      <c r="Q94" s="37"/>
      <c r="R94" s="70"/>
      <c r="S94" s="70"/>
      <c r="T94" s="70"/>
      <c r="U94" s="71"/>
      <c r="V94" s="73"/>
      <c r="W94" s="75"/>
      <c r="X94" s="64"/>
      <c r="Y94" s="51"/>
      <c r="Z94" s="51"/>
      <c r="AH94" s="18"/>
      <c r="AI94" s="18"/>
      <c r="AJ94" s="18"/>
      <c r="AK94" s="18"/>
      <c r="AL94" s="18"/>
      <c r="AM94" s="18"/>
      <c r="AN94" s="18"/>
    </row>
    <row r="95" spans="1:40">
      <c r="A95" s="51"/>
      <c r="B95" s="51"/>
      <c r="C95" s="51"/>
      <c r="D95" s="51"/>
      <c r="E95" s="51"/>
      <c r="F95" s="55"/>
      <c r="G95" s="56"/>
      <c r="H95" s="57"/>
      <c r="I95" s="51"/>
      <c r="J95" s="51"/>
      <c r="K95" s="58"/>
      <c r="L95" s="59"/>
      <c r="M95" s="58"/>
      <c r="N95" s="58"/>
      <c r="O95" s="51"/>
      <c r="P95" s="60"/>
      <c r="Q95" s="37"/>
      <c r="R95" s="104"/>
      <c r="S95" s="70"/>
      <c r="T95" s="70"/>
      <c r="U95" s="71"/>
      <c r="V95" s="73"/>
      <c r="W95" s="75"/>
      <c r="X95" s="64"/>
      <c r="Y95" s="51"/>
      <c r="Z95" s="51"/>
      <c r="AH95" s="18"/>
      <c r="AI95" s="18"/>
      <c r="AJ95" s="18"/>
      <c r="AK95" s="18"/>
      <c r="AL95" s="18"/>
      <c r="AM95" s="18"/>
      <c r="AN95" s="18"/>
    </row>
    <row r="96" spans="1:40">
      <c r="A96" s="105"/>
      <c r="B96" s="51"/>
      <c r="C96" s="54"/>
      <c r="D96" s="51"/>
      <c r="E96" s="51"/>
      <c r="F96" s="51"/>
      <c r="G96" s="51"/>
      <c r="H96" s="76"/>
      <c r="I96" s="51"/>
      <c r="J96" s="51"/>
      <c r="K96" s="58"/>
      <c r="L96" s="59"/>
      <c r="M96" s="58"/>
      <c r="N96" s="58"/>
      <c r="O96" s="77"/>
      <c r="P96" s="60"/>
      <c r="Q96" s="37"/>
      <c r="R96" s="104"/>
      <c r="S96" s="70"/>
      <c r="T96" s="70"/>
      <c r="U96" s="71"/>
      <c r="V96" s="73"/>
      <c r="W96" s="75"/>
      <c r="X96" s="64"/>
      <c r="Y96" s="51"/>
      <c r="Z96" s="51"/>
      <c r="AH96" s="18"/>
      <c r="AI96" s="18"/>
      <c r="AJ96" s="18"/>
      <c r="AK96" s="18"/>
      <c r="AL96" s="18"/>
      <c r="AM96" s="18"/>
      <c r="AN96" s="18"/>
    </row>
    <row r="97" spans="1:40">
      <c r="A97" s="105"/>
      <c r="B97" s="51"/>
      <c r="C97" s="51"/>
      <c r="D97" s="51"/>
      <c r="E97" s="51"/>
      <c r="F97" s="51"/>
      <c r="G97" s="51"/>
      <c r="H97" s="57"/>
      <c r="I97" s="51"/>
      <c r="J97" s="51"/>
      <c r="K97" s="58"/>
      <c r="L97" s="59"/>
      <c r="M97" s="58"/>
      <c r="N97" s="58"/>
      <c r="O97" s="77"/>
      <c r="P97" s="60"/>
      <c r="Q97" s="37"/>
      <c r="R97" s="104"/>
      <c r="S97" s="70"/>
      <c r="T97" s="70"/>
      <c r="U97" s="71"/>
      <c r="V97" s="73"/>
      <c r="W97" s="75"/>
      <c r="X97" s="64"/>
      <c r="Y97" s="51"/>
      <c r="Z97" s="51"/>
      <c r="AH97" s="18"/>
      <c r="AI97" s="18"/>
      <c r="AJ97" s="18"/>
      <c r="AK97" s="18"/>
      <c r="AL97" s="18"/>
      <c r="AM97" s="18"/>
      <c r="AN97" s="18"/>
    </row>
    <row r="98" spans="1:40">
      <c r="A98" s="105"/>
      <c r="B98" s="51"/>
      <c r="C98" s="51"/>
      <c r="D98" s="51"/>
      <c r="E98" s="51"/>
      <c r="F98" s="51"/>
      <c r="G98" s="51"/>
      <c r="H98" s="37"/>
      <c r="I98" s="51"/>
      <c r="J98" s="51"/>
      <c r="K98" s="58"/>
      <c r="L98" s="59"/>
      <c r="M98" s="58"/>
      <c r="N98" s="58"/>
      <c r="O98" s="77"/>
      <c r="P98" s="60"/>
      <c r="Q98" s="37"/>
      <c r="R98" s="104"/>
      <c r="S98" s="70"/>
      <c r="T98" s="70"/>
      <c r="U98" s="71"/>
      <c r="V98" s="73"/>
      <c r="W98" s="75"/>
      <c r="X98" s="64"/>
      <c r="Y98" s="51"/>
      <c r="Z98" s="51"/>
      <c r="AH98" s="18"/>
      <c r="AI98" s="18"/>
      <c r="AJ98" s="18"/>
      <c r="AK98" s="18"/>
      <c r="AL98" s="18"/>
      <c r="AM98" s="18"/>
      <c r="AN98" s="18"/>
    </row>
    <row r="99" spans="1:40">
      <c r="A99" s="105"/>
      <c r="B99" s="51"/>
      <c r="C99" s="54"/>
      <c r="D99" s="51"/>
      <c r="E99" s="51"/>
      <c r="F99" s="51"/>
      <c r="G99" s="51"/>
      <c r="H99" s="57"/>
      <c r="I99" s="51"/>
      <c r="J99" s="51"/>
      <c r="K99" s="58"/>
      <c r="L99" s="59"/>
      <c r="M99" s="58"/>
      <c r="N99" s="58"/>
      <c r="O99" s="77"/>
      <c r="P99" s="60"/>
      <c r="Q99" s="37"/>
      <c r="R99" s="104"/>
      <c r="S99" s="70"/>
      <c r="T99" s="70"/>
      <c r="U99" s="71"/>
      <c r="V99" s="73"/>
      <c r="W99" s="75"/>
      <c r="X99" s="64"/>
      <c r="Y99" s="51"/>
      <c r="Z99" s="51"/>
      <c r="AH99" s="18"/>
      <c r="AI99" s="18"/>
      <c r="AJ99" s="18"/>
      <c r="AK99" s="18"/>
      <c r="AL99" s="18"/>
      <c r="AM99" s="18"/>
      <c r="AN99" s="18"/>
    </row>
    <row r="100" spans="1:40">
      <c r="A100" s="105"/>
      <c r="B100" s="51"/>
      <c r="C100" s="51"/>
      <c r="D100" s="51"/>
      <c r="E100" s="51"/>
      <c r="F100" s="51"/>
      <c r="G100" s="51"/>
      <c r="H100" s="37"/>
      <c r="I100" s="51"/>
      <c r="J100" s="51"/>
      <c r="K100" s="58"/>
      <c r="L100" s="59"/>
      <c r="M100" s="58"/>
      <c r="N100" s="58"/>
      <c r="O100" s="77"/>
      <c r="P100" s="60"/>
      <c r="Q100" s="37"/>
      <c r="R100" s="104"/>
      <c r="S100" s="70"/>
      <c r="T100" s="70"/>
      <c r="U100" s="71"/>
      <c r="V100" s="73"/>
      <c r="W100" s="75"/>
      <c r="X100" s="64"/>
      <c r="Y100" s="51"/>
      <c r="Z100" s="51"/>
      <c r="AH100" s="18"/>
      <c r="AI100" s="18"/>
      <c r="AJ100" s="18"/>
      <c r="AK100" s="18"/>
      <c r="AL100" s="18"/>
      <c r="AM100" s="18"/>
      <c r="AN100" s="18"/>
    </row>
    <row r="101" spans="1:40">
      <c r="A101" s="105"/>
      <c r="B101" s="51"/>
      <c r="C101" s="51"/>
      <c r="D101" s="51"/>
      <c r="E101" s="51"/>
      <c r="F101" s="51"/>
      <c r="G101" s="51"/>
      <c r="H101" s="37"/>
      <c r="I101" s="51"/>
      <c r="J101" s="51"/>
      <c r="K101" s="58"/>
      <c r="L101" s="59"/>
      <c r="M101" s="58"/>
      <c r="N101" s="58"/>
      <c r="O101" s="77"/>
      <c r="P101" s="60"/>
      <c r="Q101" s="37"/>
      <c r="R101" s="104"/>
      <c r="S101" s="70"/>
      <c r="T101" s="70"/>
      <c r="U101" s="71"/>
      <c r="V101" s="73"/>
      <c r="W101" s="75"/>
      <c r="X101" s="64"/>
      <c r="Y101" s="51"/>
      <c r="Z101" s="51"/>
      <c r="AH101" s="18"/>
      <c r="AI101" s="18"/>
      <c r="AJ101" s="18"/>
      <c r="AK101" s="18"/>
      <c r="AL101" s="18"/>
      <c r="AM101" s="18"/>
      <c r="AN101" s="18"/>
    </row>
    <row r="102" spans="1:40">
      <c r="A102" s="105"/>
      <c r="B102" s="51"/>
      <c r="C102" s="51"/>
      <c r="D102" s="51"/>
      <c r="E102" s="51"/>
      <c r="F102" s="51"/>
      <c r="G102" s="51"/>
      <c r="H102" s="57"/>
      <c r="I102" s="51"/>
      <c r="J102" s="51"/>
      <c r="K102" s="58"/>
      <c r="L102" s="59"/>
      <c r="M102" s="58"/>
      <c r="N102" s="58"/>
      <c r="O102" s="77"/>
      <c r="P102" s="60"/>
      <c r="Q102" s="37"/>
      <c r="R102" s="104"/>
      <c r="S102" s="70"/>
      <c r="T102" s="70"/>
      <c r="U102" s="71"/>
      <c r="V102" s="73"/>
      <c r="W102" s="75"/>
      <c r="X102" s="64"/>
      <c r="Y102" s="51"/>
      <c r="Z102" s="51"/>
      <c r="AH102" s="18"/>
      <c r="AI102" s="18"/>
      <c r="AJ102" s="18"/>
      <c r="AK102" s="18"/>
      <c r="AL102" s="18"/>
      <c r="AM102" s="18"/>
      <c r="AN102" s="18"/>
    </row>
    <row r="103" spans="1:40">
      <c r="A103" s="105"/>
      <c r="B103" s="51"/>
      <c r="C103" s="51"/>
      <c r="D103" s="51"/>
      <c r="E103" s="51"/>
      <c r="F103" s="51"/>
      <c r="G103" s="51"/>
      <c r="H103" s="76"/>
      <c r="I103" s="51"/>
      <c r="J103" s="51"/>
      <c r="K103" s="58"/>
      <c r="L103" s="59"/>
      <c r="M103" s="58"/>
      <c r="N103" s="58"/>
      <c r="O103" s="77"/>
      <c r="P103" s="60"/>
      <c r="Q103" s="37"/>
      <c r="R103" s="104"/>
      <c r="S103" s="70"/>
      <c r="T103" s="70"/>
      <c r="U103" s="71"/>
      <c r="V103" s="73"/>
      <c r="W103" s="75"/>
      <c r="X103" s="64"/>
      <c r="Y103" s="51"/>
      <c r="Z103" s="51"/>
      <c r="AH103" s="18"/>
      <c r="AI103" s="18"/>
      <c r="AJ103" s="18"/>
      <c r="AK103" s="18"/>
      <c r="AL103" s="18"/>
      <c r="AM103" s="18"/>
      <c r="AN103" s="18"/>
    </row>
    <row r="104" spans="1:40">
      <c r="A104" s="105"/>
      <c r="B104" s="51"/>
      <c r="C104" s="51"/>
      <c r="D104" s="51"/>
      <c r="E104" s="51"/>
      <c r="F104" s="51"/>
      <c r="G104" s="54"/>
      <c r="H104" s="57"/>
      <c r="I104" s="51"/>
      <c r="J104" s="51"/>
      <c r="K104" s="58"/>
      <c r="L104" s="59"/>
      <c r="M104" s="58"/>
      <c r="N104" s="58"/>
      <c r="O104" s="77"/>
      <c r="P104" s="60"/>
      <c r="Q104" s="37"/>
      <c r="R104" s="104"/>
      <c r="S104" s="70"/>
      <c r="T104" s="70"/>
      <c r="U104" s="71"/>
      <c r="V104" s="73"/>
      <c r="W104" s="75"/>
      <c r="X104" s="64"/>
      <c r="Y104" s="51"/>
      <c r="Z104" s="51"/>
      <c r="AH104" s="18"/>
      <c r="AI104" s="18"/>
      <c r="AJ104" s="18"/>
      <c r="AK104" s="18"/>
      <c r="AL104" s="18"/>
      <c r="AM104" s="18"/>
      <c r="AN104" s="18"/>
    </row>
    <row r="105" spans="1:40">
      <c r="A105" s="105"/>
      <c r="B105" s="51"/>
      <c r="C105" s="51"/>
      <c r="D105" s="51"/>
      <c r="E105" s="51"/>
      <c r="F105" s="51"/>
      <c r="G105" s="51"/>
      <c r="H105" s="57"/>
      <c r="I105" s="51"/>
      <c r="J105" s="51"/>
      <c r="K105" s="58"/>
      <c r="L105" s="59"/>
      <c r="M105" s="58"/>
      <c r="N105" s="58"/>
      <c r="O105" s="77"/>
      <c r="P105" s="60"/>
      <c r="Q105" s="37"/>
      <c r="R105" s="104"/>
      <c r="S105" s="70"/>
      <c r="T105" s="70"/>
      <c r="U105" s="71"/>
      <c r="V105" s="73"/>
      <c r="W105" s="75"/>
      <c r="X105" s="64"/>
      <c r="Y105" s="51"/>
      <c r="Z105" s="51"/>
      <c r="AH105" s="18"/>
      <c r="AI105" s="18"/>
      <c r="AJ105" s="18"/>
      <c r="AK105" s="18"/>
      <c r="AL105" s="18"/>
      <c r="AM105" s="18"/>
      <c r="AN105" s="18"/>
    </row>
    <row r="106" spans="1:40">
      <c r="A106" s="105"/>
      <c r="B106" s="51"/>
      <c r="C106" s="51"/>
      <c r="D106" s="51"/>
      <c r="E106" s="51"/>
      <c r="F106" s="51"/>
      <c r="G106" s="51"/>
      <c r="H106" s="57"/>
      <c r="I106" s="51"/>
      <c r="J106" s="51"/>
      <c r="K106" s="58"/>
      <c r="L106" s="59"/>
      <c r="M106" s="58"/>
      <c r="N106" s="58"/>
      <c r="O106" s="77"/>
      <c r="P106" s="60"/>
      <c r="Q106" s="37"/>
      <c r="R106" s="104"/>
      <c r="S106" s="70"/>
      <c r="T106" s="70"/>
      <c r="U106" s="71"/>
      <c r="V106" s="73"/>
      <c r="W106" s="75"/>
      <c r="X106" s="64"/>
      <c r="Y106" s="51"/>
      <c r="Z106" s="51"/>
      <c r="AH106" s="18"/>
      <c r="AI106" s="18"/>
      <c r="AJ106" s="18"/>
      <c r="AK106" s="18"/>
      <c r="AL106" s="18"/>
      <c r="AM106" s="18"/>
      <c r="AN106" s="18"/>
    </row>
    <row r="107" spans="1:40">
      <c r="A107" s="105"/>
      <c r="B107" s="51"/>
      <c r="C107" s="51"/>
      <c r="D107" s="51"/>
      <c r="E107" s="51"/>
      <c r="F107" s="51"/>
      <c r="G107" s="51"/>
      <c r="H107" s="57"/>
      <c r="I107" s="51"/>
      <c r="J107" s="51"/>
      <c r="K107" s="58"/>
      <c r="L107" s="59"/>
      <c r="M107" s="58"/>
      <c r="N107" s="58"/>
      <c r="O107" s="77"/>
      <c r="P107" s="60"/>
      <c r="Q107" s="37"/>
      <c r="R107" s="104"/>
      <c r="S107" s="70"/>
      <c r="T107" s="70"/>
      <c r="U107" s="71"/>
      <c r="V107" s="73"/>
      <c r="W107" s="75"/>
      <c r="X107" s="64"/>
      <c r="Y107" s="51"/>
      <c r="Z107" s="51"/>
      <c r="AH107" s="18"/>
      <c r="AI107" s="18"/>
      <c r="AJ107" s="18"/>
      <c r="AK107" s="18"/>
      <c r="AL107" s="18"/>
      <c r="AM107" s="18"/>
      <c r="AN107" s="18"/>
    </row>
    <row r="108" spans="1:40">
      <c r="A108" s="105"/>
      <c r="B108" s="51"/>
      <c r="C108" s="51"/>
      <c r="D108" s="51"/>
      <c r="E108" s="51"/>
      <c r="F108" s="51"/>
      <c r="G108" s="51"/>
      <c r="H108" s="57"/>
      <c r="I108" s="51"/>
      <c r="J108" s="51"/>
      <c r="K108" s="58"/>
      <c r="L108" s="59"/>
      <c r="M108" s="58"/>
      <c r="N108" s="58"/>
      <c r="O108" s="77"/>
      <c r="P108" s="60"/>
      <c r="Q108" s="37"/>
      <c r="R108" s="104"/>
      <c r="S108" s="70"/>
      <c r="T108" s="70"/>
      <c r="U108" s="71"/>
      <c r="V108" s="73"/>
      <c r="W108" s="75"/>
      <c r="X108" s="64"/>
      <c r="Y108" s="51"/>
      <c r="Z108" s="51"/>
      <c r="AH108" s="18"/>
      <c r="AI108" s="18"/>
      <c r="AJ108" s="18"/>
      <c r="AK108" s="18"/>
      <c r="AL108" s="18"/>
      <c r="AM108" s="18"/>
      <c r="AN108" s="18"/>
    </row>
    <row r="109" spans="1:40">
      <c r="A109" s="105"/>
      <c r="B109" s="51"/>
      <c r="C109" s="51"/>
      <c r="D109" s="51"/>
      <c r="E109" s="51"/>
      <c r="F109" s="51"/>
      <c r="G109" s="51"/>
      <c r="H109" s="57"/>
      <c r="I109" s="51"/>
      <c r="J109" s="51"/>
      <c r="K109" s="58"/>
      <c r="L109" s="59"/>
      <c r="M109" s="58"/>
      <c r="N109" s="58"/>
      <c r="O109" s="77"/>
      <c r="P109" s="60"/>
      <c r="Q109" s="37"/>
      <c r="R109" s="104"/>
      <c r="S109" s="70"/>
      <c r="T109" s="70"/>
      <c r="U109" s="71"/>
      <c r="V109" s="73"/>
      <c r="W109" s="75"/>
      <c r="X109" s="64"/>
      <c r="Y109" s="51"/>
      <c r="Z109" s="51"/>
      <c r="AH109" s="18"/>
      <c r="AI109" s="18"/>
      <c r="AJ109" s="18"/>
      <c r="AK109" s="18"/>
      <c r="AL109" s="18"/>
      <c r="AM109" s="18"/>
      <c r="AN109" s="18"/>
    </row>
    <row r="110" spans="1:40">
      <c r="A110" s="51"/>
      <c r="B110" s="51"/>
      <c r="C110" s="51"/>
      <c r="D110" s="51"/>
      <c r="E110" s="51"/>
      <c r="F110" s="55"/>
      <c r="G110" s="56"/>
      <c r="H110" s="57"/>
      <c r="I110" s="51"/>
      <c r="J110" s="51"/>
      <c r="K110" s="58"/>
      <c r="L110" s="59"/>
      <c r="M110" s="58"/>
      <c r="N110" s="58"/>
      <c r="O110" s="51"/>
      <c r="P110" s="51"/>
      <c r="Q110" s="37"/>
      <c r="R110" s="70"/>
      <c r="S110" s="70"/>
      <c r="T110" s="70"/>
      <c r="U110" s="71"/>
      <c r="V110" s="73"/>
      <c r="W110" s="75"/>
      <c r="X110" s="64"/>
      <c r="Y110" s="51"/>
      <c r="Z110" s="51"/>
      <c r="AH110" s="18"/>
      <c r="AI110" s="18"/>
      <c r="AJ110" s="18"/>
      <c r="AK110" s="18"/>
      <c r="AL110" s="18"/>
      <c r="AM110" s="18"/>
      <c r="AN110" s="18"/>
    </row>
    <row r="111" spans="1:40">
      <c r="A111" s="51"/>
      <c r="B111" s="51"/>
      <c r="C111" s="51"/>
      <c r="D111" s="51"/>
      <c r="E111" s="51"/>
      <c r="F111" s="55"/>
      <c r="G111" s="56"/>
      <c r="H111" s="57"/>
      <c r="I111" s="51"/>
      <c r="J111" s="51"/>
      <c r="K111" s="58"/>
      <c r="L111" s="59"/>
      <c r="M111" s="58"/>
      <c r="N111" s="58"/>
      <c r="O111" s="51"/>
      <c r="P111" s="51"/>
      <c r="Q111" s="37"/>
      <c r="R111" s="70"/>
      <c r="S111" s="70"/>
      <c r="T111" s="70"/>
      <c r="U111" s="71"/>
      <c r="V111" s="73"/>
      <c r="W111" s="75"/>
      <c r="X111" s="64"/>
      <c r="Y111" s="51"/>
      <c r="Z111" s="51"/>
      <c r="AH111" s="18"/>
      <c r="AI111" s="18"/>
      <c r="AJ111" s="18"/>
      <c r="AK111" s="18"/>
      <c r="AL111" s="18"/>
      <c r="AM111" s="18"/>
      <c r="AN111" s="18"/>
    </row>
    <row r="112" spans="1:40">
      <c r="A112" s="51"/>
      <c r="B112" s="51"/>
      <c r="C112" s="54"/>
      <c r="D112" s="51"/>
      <c r="E112" s="51"/>
      <c r="F112" s="55"/>
      <c r="G112" s="56"/>
      <c r="H112" s="57"/>
      <c r="I112" s="51"/>
      <c r="J112" s="51"/>
      <c r="K112" s="58"/>
      <c r="L112" s="59"/>
      <c r="M112" s="58"/>
      <c r="N112" s="58"/>
      <c r="O112" s="51"/>
      <c r="P112" s="60"/>
      <c r="Q112" s="37"/>
      <c r="R112" s="70"/>
      <c r="S112" s="70"/>
      <c r="T112" s="70"/>
      <c r="U112" s="71"/>
      <c r="V112" s="73"/>
      <c r="W112" s="75"/>
      <c r="X112" s="64"/>
      <c r="Y112" s="51"/>
      <c r="Z112" s="51"/>
      <c r="AH112" s="18"/>
      <c r="AI112" s="18"/>
      <c r="AJ112" s="18"/>
      <c r="AK112" s="18"/>
      <c r="AL112" s="18"/>
      <c r="AM112" s="18"/>
      <c r="AN112" s="18"/>
    </row>
    <row r="113" spans="1:40">
      <c r="A113" s="51"/>
      <c r="B113" s="51"/>
      <c r="C113" s="51"/>
      <c r="D113" s="51"/>
      <c r="E113" s="51"/>
      <c r="F113" s="55"/>
      <c r="G113" s="56"/>
      <c r="H113" s="57"/>
      <c r="I113" s="51"/>
      <c r="J113" s="51"/>
      <c r="K113" s="58"/>
      <c r="L113" s="59"/>
      <c r="M113" s="58"/>
      <c r="N113" s="58"/>
      <c r="O113" s="77"/>
      <c r="P113" s="60"/>
      <c r="Q113" s="37"/>
      <c r="R113" s="70"/>
      <c r="S113" s="70"/>
      <c r="T113" s="70"/>
      <c r="U113" s="71"/>
      <c r="V113" s="73"/>
      <c r="W113" s="75"/>
      <c r="X113" s="64"/>
      <c r="Y113" s="51"/>
      <c r="Z113" s="51"/>
      <c r="AH113" s="18"/>
      <c r="AI113" s="18"/>
      <c r="AJ113" s="18"/>
      <c r="AK113" s="18"/>
      <c r="AL113" s="18"/>
      <c r="AM113" s="18"/>
      <c r="AN113" s="18"/>
    </row>
    <row r="114" spans="1:40">
      <c r="A114" s="51"/>
      <c r="B114" s="51"/>
      <c r="C114" s="51"/>
      <c r="D114" s="51"/>
      <c r="E114" s="51"/>
      <c r="F114" s="55"/>
      <c r="G114" s="56"/>
      <c r="H114" s="57"/>
      <c r="I114" s="51"/>
      <c r="J114" s="51"/>
      <c r="K114" s="58"/>
      <c r="L114" s="59"/>
      <c r="M114" s="58"/>
      <c r="N114" s="58"/>
      <c r="O114" s="77"/>
      <c r="P114" s="60"/>
      <c r="Q114" s="37"/>
      <c r="R114" s="70"/>
      <c r="S114" s="70"/>
      <c r="T114" s="70"/>
      <c r="U114" s="71"/>
      <c r="V114" s="73"/>
      <c r="W114" s="75"/>
      <c r="X114" s="64"/>
      <c r="Y114" s="51"/>
      <c r="Z114" s="51"/>
      <c r="AH114" s="18"/>
      <c r="AI114" s="18"/>
      <c r="AJ114" s="18"/>
      <c r="AK114" s="18"/>
      <c r="AL114" s="18"/>
      <c r="AM114" s="18"/>
      <c r="AN114" s="18"/>
    </row>
    <row r="115" spans="1:40">
      <c r="A115" s="51"/>
      <c r="B115" s="51"/>
      <c r="C115" s="51"/>
      <c r="D115" s="51"/>
      <c r="E115" s="51"/>
      <c r="F115" s="55"/>
      <c r="G115" s="56"/>
      <c r="H115" s="57"/>
      <c r="I115" s="51"/>
      <c r="J115" s="51"/>
      <c r="K115" s="58"/>
      <c r="L115" s="59"/>
      <c r="M115" s="58"/>
      <c r="N115" s="58"/>
      <c r="O115" s="77"/>
      <c r="P115" s="60"/>
      <c r="Q115" s="37"/>
      <c r="R115" s="70"/>
      <c r="S115" s="70"/>
      <c r="T115" s="70"/>
      <c r="U115" s="71"/>
      <c r="V115" s="73"/>
      <c r="W115" s="75"/>
      <c r="X115" s="64"/>
      <c r="Y115" s="51"/>
      <c r="Z115" s="51"/>
      <c r="AH115" s="18"/>
      <c r="AI115" s="18"/>
      <c r="AJ115" s="18"/>
      <c r="AK115" s="18"/>
      <c r="AL115" s="18"/>
      <c r="AM115" s="18"/>
      <c r="AN115" s="18"/>
    </row>
    <row r="116" spans="1:40">
      <c r="A116" s="51"/>
      <c r="B116" s="51"/>
      <c r="C116" s="51"/>
      <c r="D116" s="51"/>
      <c r="E116" s="51"/>
      <c r="F116" s="55"/>
      <c r="G116" s="56"/>
      <c r="H116" s="57"/>
      <c r="I116" s="51"/>
      <c r="J116" s="51"/>
      <c r="K116" s="58"/>
      <c r="L116" s="59"/>
      <c r="M116" s="58"/>
      <c r="N116" s="58"/>
      <c r="O116" s="77"/>
      <c r="P116" s="60"/>
      <c r="Q116" s="37"/>
      <c r="R116" s="70"/>
      <c r="S116" s="70"/>
      <c r="T116" s="70"/>
      <c r="U116" s="71"/>
      <c r="V116" s="73"/>
      <c r="W116" s="75"/>
      <c r="X116" s="64"/>
      <c r="Y116" s="51"/>
      <c r="Z116" s="51"/>
      <c r="AH116" s="18"/>
      <c r="AI116" s="18"/>
      <c r="AJ116" s="18"/>
      <c r="AK116" s="18"/>
      <c r="AL116" s="18"/>
      <c r="AM116" s="18"/>
      <c r="AN116" s="18"/>
    </row>
    <row r="117" spans="1:40">
      <c r="A117" s="51"/>
      <c r="B117" s="51"/>
      <c r="C117" s="51"/>
      <c r="D117" s="51"/>
      <c r="E117" s="51"/>
      <c r="F117" s="55"/>
      <c r="G117" s="56"/>
      <c r="H117" s="57"/>
      <c r="I117" s="51"/>
      <c r="J117" s="51"/>
      <c r="K117" s="58"/>
      <c r="L117" s="59"/>
      <c r="M117" s="58"/>
      <c r="N117" s="58"/>
      <c r="O117" s="77"/>
      <c r="P117" s="60"/>
      <c r="Q117" s="37"/>
      <c r="R117" s="70"/>
      <c r="S117" s="70"/>
      <c r="T117" s="70"/>
      <c r="U117" s="71"/>
      <c r="V117" s="73"/>
      <c r="W117" s="75"/>
      <c r="X117" s="64"/>
      <c r="Y117" s="51"/>
      <c r="Z117" s="51"/>
      <c r="AH117" s="18"/>
      <c r="AI117" s="18"/>
      <c r="AJ117" s="18"/>
      <c r="AK117" s="18"/>
      <c r="AL117" s="18"/>
      <c r="AM117" s="18"/>
      <c r="AN117" s="18"/>
    </row>
    <row r="118" spans="1:40">
      <c r="A118" s="51"/>
      <c r="B118" s="51"/>
      <c r="C118" s="51"/>
      <c r="D118" s="51"/>
      <c r="E118" s="51"/>
      <c r="F118" s="55"/>
      <c r="G118" s="56"/>
      <c r="H118" s="57"/>
      <c r="I118" s="51"/>
      <c r="J118" s="51"/>
      <c r="K118" s="58"/>
      <c r="L118" s="59"/>
      <c r="M118" s="58"/>
      <c r="N118" s="58"/>
      <c r="O118" s="77"/>
      <c r="P118" s="60"/>
      <c r="Q118" s="37"/>
      <c r="R118" s="70"/>
      <c r="S118" s="70"/>
      <c r="T118" s="70"/>
      <c r="U118" s="71"/>
      <c r="V118" s="73"/>
      <c r="W118" s="75"/>
      <c r="X118" s="64"/>
      <c r="Y118" s="51"/>
      <c r="Z118" s="51"/>
      <c r="AH118" s="18"/>
      <c r="AI118" s="18"/>
      <c r="AJ118" s="18"/>
      <c r="AK118" s="18"/>
      <c r="AL118" s="18"/>
      <c r="AM118" s="18"/>
      <c r="AN118" s="18"/>
    </row>
    <row r="119" spans="1:40">
      <c r="A119" s="51"/>
      <c r="B119" s="51"/>
      <c r="C119" s="51"/>
      <c r="D119" s="51"/>
      <c r="E119" s="51"/>
      <c r="F119" s="55"/>
      <c r="G119" s="56"/>
      <c r="H119" s="57"/>
      <c r="I119" s="51"/>
      <c r="J119" s="51"/>
      <c r="K119" s="58"/>
      <c r="L119" s="59"/>
      <c r="M119" s="58"/>
      <c r="N119" s="58"/>
      <c r="O119" s="77"/>
      <c r="P119" s="60"/>
      <c r="Q119" s="37"/>
      <c r="R119" s="70"/>
      <c r="S119" s="70"/>
      <c r="T119" s="70"/>
      <c r="U119" s="71"/>
      <c r="V119" s="73"/>
      <c r="W119" s="75"/>
      <c r="X119" s="64"/>
      <c r="Y119" s="51"/>
      <c r="Z119" s="51"/>
      <c r="AH119" s="18"/>
      <c r="AI119" s="18"/>
      <c r="AJ119" s="18"/>
      <c r="AK119" s="18"/>
      <c r="AL119" s="18"/>
      <c r="AM119" s="18"/>
      <c r="AN119" s="18"/>
    </row>
    <row r="120" spans="1:40">
      <c r="A120" s="51"/>
      <c r="B120" s="51"/>
      <c r="C120" s="51"/>
      <c r="D120" s="51"/>
      <c r="E120" s="51"/>
      <c r="F120" s="55"/>
      <c r="G120" s="56"/>
      <c r="H120" s="57"/>
      <c r="I120" s="51"/>
      <c r="J120" s="51"/>
      <c r="K120" s="58"/>
      <c r="L120" s="59"/>
      <c r="M120" s="58"/>
      <c r="N120" s="58"/>
      <c r="O120" s="51"/>
      <c r="P120" s="51"/>
      <c r="Q120" s="37"/>
      <c r="R120" s="70"/>
      <c r="S120" s="70"/>
      <c r="T120" s="70"/>
      <c r="U120" s="71"/>
      <c r="V120" s="73"/>
      <c r="W120" s="75"/>
      <c r="X120" s="64"/>
      <c r="Y120" s="51"/>
      <c r="Z120" s="51"/>
      <c r="AH120" s="18"/>
      <c r="AI120" s="18"/>
      <c r="AJ120" s="18"/>
      <c r="AK120" s="18"/>
      <c r="AL120" s="18"/>
      <c r="AM120" s="18"/>
      <c r="AN120" s="18"/>
    </row>
    <row r="121" spans="1:40">
      <c r="A121" s="51"/>
      <c r="B121" s="51"/>
      <c r="C121" s="51"/>
      <c r="D121" s="51"/>
      <c r="E121" s="51"/>
      <c r="F121" s="55"/>
      <c r="G121" s="56"/>
      <c r="H121" s="57"/>
      <c r="I121" s="51"/>
      <c r="J121" s="51"/>
      <c r="K121" s="58"/>
      <c r="L121" s="59"/>
      <c r="M121" s="58"/>
      <c r="N121" s="58"/>
      <c r="O121" s="51"/>
      <c r="P121" s="51"/>
      <c r="Q121" s="37"/>
      <c r="R121" s="70"/>
      <c r="S121" s="70"/>
      <c r="T121" s="70"/>
      <c r="U121" s="71"/>
      <c r="V121" s="73"/>
      <c r="W121" s="75"/>
      <c r="X121" s="64"/>
      <c r="Y121" s="51"/>
      <c r="Z121" s="51"/>
      <c r="AH121" s="18"/>
      <c r="AI121" s="18"/>
      <c r="AJ121" s="18"/>
      <c r="AK121" s="18"/>
      <c r="AL121" s="18"/>
      <c r="AM121" s="18"/>
      <c r="AN121" s="18"/>
    </row>
    <row r="122" spans="1:40">
      <c r="A122" s="51"/>
      <c r="B122" s="51"/>
      <c r="C122" s="51"/>
      <c r="D122" s="51"/>
      <c r="E122" s="51"/>
      <c r="F122" s="55"/>
      <c r="G122" s="56"/>
      <c r="H122" s="57"/>
      <c r="I122" s="51"/>
      <c r="J122" s="51"/>
      <c r="K122" s="58"/>
      <c r="L122" s="59"/>
      <c r="M122" s="58"/>
      <c r="N122" s="58"/>
      <c r="O122" s="51"/>
      <c r="P122" s="51"/>
      <c r="Q122" s="37"/>
      <c r="R122" s="70"/>
      <c r="S122" s="70"/>
      <c r="T122" s="70"/>
      <c r="U122" s="71"/>
      <c r="V122" s="73"/>
      <c r="W122" s="75"/>
      <c r="X122" s="64"/>
      <c r="Y122" s="51"/>
      <c r="Z122" s="51"/>
      <c r="AH122" s="18"/>
      <c r="AI122" s="18"/>
      <c r="AJ122" s="18"/>
      <c r="AK122" s="18"/>
      <c r="AL122" s="18"/>
      <c r="AM122" s="18"/>
      <c r="AN122" s="18"/>
    </row>
    <row r="123" spans="1:40">
      <c r="A123" s="51"/>
      <c r="B123" s="51"/>
      <c r="C123" s="51"/>
      <c r="D123" s="51"/>
      <c r="E123" s="51"/>
      <c r="F123" s="55"/>
      <c r="G123" s="56"/>
      <c r="H123" s="57"/>
      <c r="I123" s="51"/>
      <c r="J123" s="51"/>
      <c r="K123" s="58"/>
      <c r="L123" s="59"/>
      <c r="M123" s="58"/>
      <c r="N123" s="58"/>
      <c r="O123" s="51"/>
      <c r="P123" s="51"/>
      <c r="Q123" s="37"/>
      <c r="R123" s="70"/>
      <c r="S123" s="70"/>
      <c r="T123" s="70"/>
      <c r="U123" s="71"/>
      <c r="V123" s="73"/>
      <c r="W123" s="75"/>
      <c r="X123" s="64"/>
      <c r="Y123" s="51"/>
      <c r="Z123" s="51"/>
      <c r="AH123" s="18"/>
      <c r="AI123" s="18"/>
      <c r="AJ123" s="18"/>
      <c r="AK123" s="18"/>
      <c r="AL123" s="18"/>
      <c r="AM123" s="18"/>
      <c r="AN123" s="18"/>
    </row>
    <row r="124" spans="1:40">
      <c r="A124" s="51"/>
      <c r="B124" s="51"/>
      <c r="C124" s="51"/>
      <c r="D124" s="51"/>
      <c r="E124" s="51"/>
      <c r="F124" s="55"/>
      <c r="G124" s="56"/>
      <c r="H124" s="57"/>
      <c r="I124" s="51"/>
      <c r="J124" s="51"/>
      <c r="K124" s="58"/>
      <c r="L124" s="59"/>
      <c r="M124" s="58"/>
      <c r="N124" s="58"/>
      <c r="O124" s="51"/>
      <c r="P124" s="51"/>
      <c r="Q124" s="37"/>
      <c r="R124" s="70"/>
      <c r="S124" s="70"/>
      <c r="T124" s="70"/>
      <c r="U124" s="71"/>
      <c r="V124" s="73"/>
      <c r="W124" s="75"/>
      <c r="X124" s="64"/>
      <c r="Y124" s="51"/>
      <c r="Z124" s="51"/>
      <c r="AH124" s="18"/>
      <c r="AI124" s="18"/>
      <c r="AJ124" s="18"/>
      <c r="AK124" s="18"/>
      <c r="AL124" s="18"/>
      <c r="AM124" s="18"/>
      <c r="AN124" s="18"/>
    </row>
    <row r="125" spans="1:40">
      <c r="A125" s="51"/>
      <c r="B125" s="51"/>
      <c r="C125" s="51"/>
      <c r="D125" s="51"/>
      <c r="E125" s="51"/>
      <c r="F125" s="55"/>
      <c r="G125" s="56"/>
      <c r="H125" s="57"/>
      <c r="I125" s="51"/>
      <c r="J125" s="51"/>
      <c r="K125" s="58"/>
      <c r="L125" s="59"/>
      <c r="M125" s="58"/>
      <c r="N125" s="58"/>
      <c r="O125" s="51"/>
      <c r="P125" s="51"/>
      <c r="Q125" s="37"/>
      <c r="R125" s="70"/>
      <c r="S125" s="70"/>
      <c r="T125" s="70"/>
      <c r="U125" s="71"/>
      <c r="V125" s="73"/>
      <c r="W125" s="75"/>
      <c r="X125" s="64"/>
      <c r="Y125" s="51"/>
      <c r="Z125" s="51"/>
      <c r="AH125" s="18"/>
      <c r="AI125" s="18"/>
      <c r="AJ125" s="18"/>
      <c r="AK125" s="18"/>
      <c r="AL125" s="18"/>
      <c r="AM125" s="18"/>
      <c r="AN125" s="18"/>
    </row>
    <row r="126" spans="1:40">
      <c r="A126" s="51"/>
      <c r="B126" s="51"/>
      <c r="C126" s="51"/>
      <c r="D126" s="51"/>
      <c r="E126" s="51"/>
      <c r="F126" s="55"/>
      <c r="G126" s="56"/>
      <c r="H126" s="57"/>
      <c r="I126" s="51"/>
      <c r="J126" s="51"/>
      <c r="K126" s="58"/>
      <c r="L126" s="59"/>
      <c r="M126" s="58"/>
      <c r="N126" s="58"/>
      <c r="O126" s="51"/>
      <c r="P126" s="51"/>
      <c r="Q126" s="37"/>
      <c r="R126" s="70"/>
      <c r="S126" s="70"/>
      <c r="T126" s="70"/>
      <c r="U126" s="71"/>
      <c r="V126" s="73"/>
      <c r="W126" s="75"/>
      <c r="X126" s="64"/>
      <c r="Y126" s="51"/>
      <c r="Z126" s="51"/>
      <c r="AH126" s="18"/>
      <c r="AI126" s="18"/>
      <c r="AJ126" s="18"/>
      <c r="AK126" s="18"/>
      <c r="AL126" s="18"/>
      <c r="AM126" s="18"/>
      <c r="AN126" s="18"/>
    </row>
    <row r="127" spans="1:40">
      <c r="A127" s="51"/>
      <c r="B127" s="51"/>
      <c r="C127" s="51"/>
      <c r="D127" s="51"/>
      <c r="E127" s="51"/>
      <c r="F127" s="55"/>
      <c r="G127" s="56"/>
      <c r="H127" s="57"/>
      <c r="I127" s="51"/>
      <c r="J127" s="51"/>
      <c r="K127" s="58"/>
      <c r="L127" s="59"/>
      <c r="M127" s="58"/>
      <c r="N127" s="58"/>
      <c r="O127" s="51"/>
      <c r="P127" s="51"/>
      <c r="Q127" s="37"/>
      <c r="R127" s="70"/>
      <c r="S127" s="70"/>
      <c r="T127" s="70"/>
      <c r="U127" s="71"/>
      <c r="V127" s="73"/>
      <c r="W127" s="75"/>
      <c r="X127" s="64"/>
      <c r="Y127" s="51"/>
      <c r="Z127" s="51"/>
      <c r="AH127" s="18"/>
      <c r="AI127" s="18"/>
      <c r="AJ127" s="18"/>
      <c r="AK127" s="18"/>
      <c r="AL127" s="18"/>
      <c r="AM127" s="18"/>
      <c r="AN127" s="18"/>
    </row>
    <row r="128" spans="1:40">
      <c r="A128" s="51"/>
      <c r="B128" s="51"/>
      <c r="C128" s="51"/>
      <c r="D128" s="51"/>
      <c r="E128" s="51"/>
      <c r="F128" s="55"/>
      <c r="G128" s="56"/>
      <c r="H128" s="57"/>
      <c r="I128" s="51"/>
      <c r="J128" s="51"/>
      <c r="K128" s="58"/>
      <c r="L128" s="59"/>
      <c r="M128" s="58"/>
      <c r="N128" s="58"/>
      <c r="O128" s="51"/>
      <c r="P128" s="51"/>
      <c r="Q128" s="37"/>
      <c r="R128" s="70"/>
      <c r="S128" s="70"/>
      <c r="T128" s="70"/>
      <c r="U128" s="71"/>
      <c r="V128" s="73"/>
      <c r="W128" s="75"/>
      <c r="X128" s="64"/>
      <c r="Y128" s="51"/>
      <c r="Z128" s="51"/>
      <c r="AH128" s="18"/>
      <c r="AI128" s="18"/>
      <c r="AJ128" s="18"/>
      <c r="AK128" s="18"/>
      <c r="AL128" s="18"/>
      <c r="AM128" s="18"/>
      <c r="AN128" s="18"/>
    </row>
    <row r="129" spans="1:40">
      <c r="A129" s="51"/>
      <c r="B129" s="51"/>
      <c r="C129" s="51"/>
      <c r="D129" s="51"/>
      <c r="E129" s="51"/>
      <c r="F129" s="55"/>
      <c r="G129" s="56"/>
      <c r="H129" s="57"/>
      <c r="I129" s="51"/>
      <c r="J129" s="51"/>
      <c r="K129" s="58"/>
      <c r="L129" s="59"/>
      <c r="M129" s="58"/>
      <c r="N129" s="58"/>
      <c r="O129" s="51"/>
      <c r="P129" s="51"/>
      <c r="Q129" s="37"/>
      <c r="R129" s="70"/>
      <c r="S129" s="70"/>
      <c r="T129" s="70"/>
      <c r="U129" s="71"/>
      <c r="V129" s="73"/>
      <c r="W129" s="75"/>
      <c r="X129" s="64"/>
      <c r="Y129" s="51"/>
      <c r="Z129" s="51"/>
      <c r="AH129" s="18"/>
      <c r="AI129" s="18"/>
      <c r="AJ129" s="18"/>
      <c r="AK129" s="18"/>
      <c r="AL129" s="18"/>
      <c r="AM129" s="18"/>
      <c r="AN129" s="18"/>
    </row>
    <row r="130" spans="1:40">
      <c r="A130" s="51"/>
      <c r="B130" s="51"/>
      <c r="C130" s="51"/>
      <c r="D130" s="51"/>
      <c r="E130" s="51"/>
      <c r="F130" s="55"/>
      <c r="G130" s="56"/>
      <c r="H130" s="57"/>
      <c r="I130" s="51"/>
      <c r="J130" s="51"/>
      <c r="K130" s="58"/>
      <c r="L130" s="59"/>
      <c r="M130" s="58"/>
      <c r="N130" s="58"/>
      <c r="O130" s="51"/>
      <c r="P130" s="51"/>
      <c r="Q130" s="37"/>
      <c r="R130" s="70"/>
      <c r="S130" s="70"/>
      <c r="T130" s="70"/>
      <c r="U130" s="71"/>
      <c r="V130" s="73"/>
      <c r="W130" s="75"/>
      <c r="X130" s="64"/>
      <c r="Y130" s="51"/>
      <c r="Z130" s="51"/>
      <c r="AH130" s="18"/>
      <c r="AI130" s="18"/>
      <c r="AJ130" s="18"/>
      <c r="AK130" s="18"/>
      <c r="AL130" s="18"/>
      <c r="AM130" s="18"/>
      <c r="AN130" s="18"/>
    </row>
    <row r="131" spans="1:40">
      <c r="A131" s="51"/>
      <c r="B131" s="51"/>
      <c r="C131" s="51"/>
      <c r="D131" s="51"/>
      <c r="E131" s="51"/>
      <c r="F131" s="55"/>
      <c r="G131" s="56"/>
      <c r="H131" s="57"/>
      <c r="I131" s="51"/>
      <c r="J131" s="51"/>
      <c r="K131" s="58"/>
      <c r="L131" s="59"/>
      <c r="M131" s="58"/>
      <c r="N131" s="58"/>
      <c r="O131" s="51"/>
      <c r="P131" s="51"/>
      <c r="Q131" s="37"/>
      <c r="R131" s="70"/>
      <c r="S131" s="70"/>
      <c r="T131" s="70"/>
      <c r="U131" s="71"/>
      <c r="V131" s="73"/>
      <c r="W131" s="75"/>
      <c r="X131" s="64"/>
      <c r="Y131" s="51"/>
      <c r="Z131" s="51"/>
      <c r="AH131" s="18"/>
      <c r="AI131" s="18"/>
      <c r="AJ131" s="18"/>
      <c r="AK131" s="18"/>
      <c r="AL131" s="18"/>
      <c r="AM131" s="18"/>
      <c r="AN131" s="18"/>
    </row>
    <row r="132" spans="1:40">
      <c r="A132" s="105"/>
      <c r="B132" s="51"/>
      <c r="C132" s="51"/>
      <c r="D132" s="51"/>
      <c r="E132" s="51"/>
      <c r="F132" s="55"/>
      <c r="G132" s="80"/>
      <c r="H132" s="57"/>
      <c r="I132" s="51"/>
      <c r="J132" s="51"/>
      <c r="K132" s="58"/>
      <c r="L132" s="59"/>
      <c r="M132" s="58"/>
      <c r="N132" s="58"/>
      <c r="O132" s="77"/>
      <c r="P132" s="60"/>
      <c r="Q132" s="37"/>
      <c r="R132" s="70"/>
      <c r="S132" s="70"/>
      <c r="T132" s="70"/>
      <c r="U132" s="71"/>
      <c r="V132" s="73"/>
      <c r="W132" s="75"/>
      <c r="X132" s="64"/>
      <c r="Y132" s="51"/>
      <c r="Z132" s="51"/>
      <c r="AH132" s="18"/>
      <c r="AI132" s="18"/>
      <c r="AJ132" s="18"/>
      <c r="AK132" s="18"/>
      <c r="AL132" s="18"/>
      <c r="AM132" s="18"/>
      <c r="AN132" s="18"/>
    </row>
    <row r="133" spans="1:40">
      <c r="A133" s="105"/>
      <c r="B133" s="51"/>
      <c r="C133" s="51"/>
      <c r="D133" s="51"/>
      <c r="E133" s="51"/>
      <c r="F133" s="55"/>
      <c r="G133" s="56"/>
      <c r="H133" s="57"/>
      <c r="I133" s="51"/>
      <c r="J133" s="51"/>
      <c r="K133" s="58"/>
      <c r="L133" s="59"/>
      <c r="M133" s="58"/>
      <c r="N133" s="58"/>
      <c r="O133" s="77"/>
      <c r="P133" s="60"/>
      <c r="Q133" s="37"/>
      <c r="R133" s="70"/>
      <c r="S133" s="70"/>
      <c r="T133" s="70"/>
      <c r="U133" s="71"/>
      <c r="V133" s="73"/>
      <c r="W133" s="75"/>
      <c r="X133" s="64"/>
      <c r="Y133" s="51"/>
      <c r="Z133" s="51"/>
      <c r="AH133" s="18"/>
      <c r="AI133" s="18"/>
      <c r="AJ133" s="18"/>
      <c r="AK133" s="18"/>
      <c r="AL133" s="18"/>
      <c r="AM133" s="18"/>
      <c r="AN133" s="18"/>
    </row>
    <row r="134" spans="1:40">
      <c r="A134" s="105"/>
      <c r="B134" s="51"/>
      <c r="C134" s="51"/>
      <c r="D134" s="51"/>
      <c r="E134" s="51"/>
      <c r="F134" s="55"/>
      <c r="G134" s="56"/>
      <c r="H134" s="57"/>
      <c r="I134" s="51"/>
      <c r="J134" s="51"/>
      <c r="K134" s="58"/>
      <c r="L134" s="59"/>
      <c r="M134" s="58"/>
      <c r="N134" s="58"/>
      <c r="O134" s="77"/>
      <c r="P134" s="60"/>
      <c r="Q134" s="37"/>
      <c r="R134" s="70"/>
      <c r="S134" s="70"/>
      <c r="T134" s="70"/>
      <c r="U134" s="71"/>
      <c r="V134" s="73"/>
      <c r="W134" s="75"/>
      <c r="X134" s="64"/>
      <c r="Y134" s="51"/>
      <c r="Z134" s="51"/>
      <c r="AH134" s="18"/>
      <c r="AI134" s="18"/>
      <c r="AJ134" s="18"/>
      <c r="AK134" s="18"/>
      <c r="AL134" s="18"/>
      <c r="AM134" s="18"/>
      <c r="AN134" s="18"/>
    </row>
    <row r="135" spans="1:40">
      <c r="A135" s="105"/>
      <c r="B135" s="51"/>
      <c r="C135" s="51"/>
      <c r="D135" s="51"/>
      <c r="E135" s="51"/>
      <c r="F135" s="55"/>
      <c r="G135" s="56"/>
      <c r="H135" s="57"/>
      <c r="I135" s="51"/>
      <c r="J135" s="51"/>
      <c r="K135" s="58"/>
      <c r="L135" s="59"/>
      <c r="M135" s="58"/>
      <c r="N135" s="58"/>
      <c r="O135" s="77"/>
      <c r="P135" s="60"/>
      <c r="Q135" s="37"/>
      <c r="R135" s="70"/>
      <c r="S135" s="70"/>
      <c r="T135" s="70"/>
      <c r="U135" s="71"/>
      <c r="V135" s="73"/>
      <c r="W135" s="75"/>
      <c r="X135" s="64"/>
      <c r="Y135" s="51"/>
      <c r="Z135" s="51"/>
      <c r="AH135" s="18"/>
      <c r="AI135" s="18"/>
      <c r="AJ135" s="18"/>
      <c r="AK135" s="18"/>
      <c r="AL135" s="18"/>
      <c r="AM135" s="18"/>
      <c r="AN135" s="18"/>
    </row>
    <row r="136" spans="1:40">
      <c r="A136" s="105"/>
      <c r="B136" s="51"/>
      <c r="C136" s="51"/>
      <c r="D136" s="51"/>
      <c r="E136" s="51"/>
      <c r="F136" s="55"/>
      <c r="G136" s="56"/>
      <c r="H136" s="57"/>
      <c r="I136" s="51"/>
      <c r="J136" s="51"/>
      <c r="K136" s="58"/>
      <c r="L136" s="59"/>
      <c r="M136" s="58"/>
      <c r="N136" s="58"/>
      <c r="O136" s="77"/>
      <c r="P136" s="60"/>
      <c r="Q136" s="37"/>
      <c r="R136" s="70"/>
      <c r="S136" s="70"/>
      <c r="T136" s="70"/>
      <c r="U136" s="71"/>
      <c r="V136" s="73"/>
      <c r="W136" s="75"/>
      <c r="X136" s="64"/>
      <c r="Y136" s="51"/>
      <c r="Z136" s="51"/>
      <c r="AH136" s="18"/>
      <c r="AI136" s="18"/>
      <c r="AJ136" s="18"/>
      <c r="AK136" s="18"/>
      <c r="AL136" s="18"/>
      <c r="AM136" s="18"/>
      <c r="AN136" s="18"/>
    </row>
    <row r="137" spans="1:40">
      <c r="A137" s="105"/>
      <c r="B137" s="51"/>
      <c r="C137" s="51"/>
      <c r="D137" s="51"/>
      <c r="E137" s="51"/>
      <c r="F137" s="55"/>
      <c r="G137" s="56"/>
      <c r="H137" s="57"/>
      <c r="I137" s="51"/>
      <c r="J137" s="51"/>
      <c r="K137" s="58"/>
      <c r="L137" s="59"/>
      <c r="M137" s="58"/>
      <c r="N137" s="58"/>
      <c r="O137" s="77"/>
      <c r="P137" s="60"/>
      <c r="Q137" s="37"/>
      <c r="R137" s="70"/>
      <c r="S137" s="70"/>
      <c r="T137" s="70"/>
      <c r="U137" s="71"/>
      <c r="V137" s="73"/>
      <c r="W137" s="75"/>
      <c r="X137" s="64"/>
      <c r="Y137" s="51"/>
      <c r="Z137" s="51"/>
      <c r="AH137" s="18"/>
      <c r="AI137" s="18"/>
      <c r="AJ137" s="18"/>
      <c r="AK137" s="18"/>
      <c r="AL137" s="18"/>
      <c r="AM137" s="18"/>
      <c r="AN137" s="18"/>
    </row>
    <row r="138" spans="1:40">
      <c r="A138" s="105"/>
      <c r="B138" s="51"/>
      <c r="C138" s="51"/>
      <c r="D138" s="51"/>
      <c r="E138" s="51"/>
      <c r="F138" s="55"/>
      <c r="G138" s="56"/>
      <c r="H138" s="57"/>
      <c r="I138" s="51"/>
      <c r="J138" s="51"/>
      <c r="K138" s="58"/>
      <c r="L138" s="59"/>
      <c r="M138" s="58"/>
      <c r="N138" s="58"/>
      <c r="O138" s="77"/>
      <c r="P138" s="60"/>
      <c r="Q138" s="37"/>
      <c r="R138" s="70"/>
      <c r="S138" s="70"/>
      <c r="T138" s="70"/>
      <c r="U138" s="71"/>
      <c r="V138" s="73"/>
      <c r="W138" s="75"/>
      <c r="X138" s="64"/>
      <c r="Y138" s="51"/>
      <c r="Z138" s="51"/>
      <c r="AH138" s="18"/>
      <c r="AI138" s="18"/>
      <c r="AJ138" s="18"/>
      <c r="AK138" s="18"/>
      <c r="AL138" s="18"/>
      <c r="AM138" s="18"/>
      <c r="AN138" s="18"/>
    </row>
    <row r="139" spans="1:40">
      <c r="A139" s="105"/>
      <c r="B139" s="51"/>
      <c r="C139" s="51"/>
      <c r="D139" s="51"/>
      <c r="E139" s="51"/>
      <c r="F139" s="55"/>
      <c r="G139" s="56"/>
      <c r="H139" s="57"/>
      <c r="I139" s="51"/>
      <c r="J139" s="51"/>
      <c r="K139" s="58"/>
      <c r="L139" s="59"/>
      <c r="M139" s="58"/>
      <c r="N139" s="58"/>
      <c r="O139" s="77"/>
      <c r="P139" s="60"/>
      <c r="Q139" s="37"/>
      <c r="R139" s="70"/>
      <c r="S139" s="70"/>
      <c r="T139" s="70"/>
      <c r="U139" s="71"/>
      <c r="V139" s="73"/>
      <c r="W139" s="75"/>
      <c r="X139" s="64"/>
      <c r="Y139" s="51"/>
      <c r="Z139" s="51"/>
      <c r="AH139" s="18"/>
      <c r="AI139" s="18"/>
      <c r="AJ139" s="18"/>
      <c r="AK139" s="18"/>
      <c r="AL139" s="18"/>
      <c r="AM139" s="18"/>
      <c r="AN139" s="18"/>
    </row>
    <row r="140" spans="1:40">
      <c r="A140" s="105"/>
      <c r="B140" s="51"/>
      <c r="C140" s="51"/>
      <c r="D140" s="51"/>
      <c r="E140" s="51"/>
      <c r="F140" s="55"/>
      <c r="G140" s="56"/>
      <c r="H140" s="57"/>
      <c r="I140" s="51"/>
      <c r="J140" s="51"/>
      <c r="K140" s="58"/>
      <c r="L140" s="59"/>
      <c r="M140" s="58"/>
      <c r="N140" s="58"/>
      <c r="O140" s="77"/>
      <c r="P140" s="60"/>
      <c r="Q140" s="37"/>
      <c r="R140" s="70"/>
      <c r="S140" s="70"/>
      <c r="T140" s="70"/>
      <c r="U140" s="71"/>
      <c r="V140" s="73"/>
      <c r="W140" s="75"/>
      <c r="X140" s="64"/>
      <c r="Y140" s="51"/>
      <c r="Z140" s="51"/>
      <c r="AH140" s="18"/>
      <c r="AI140" s="18"/>
      <c r="AJ140" s="18"/>
      <c r="AK140" s="18"/>
      <c r="AL140" s="18"/>
      <c r="AM140" s="18"/>
      <c r="AN140" s="18"/>
    </row>
    <row r="141" spans="1:40">
      <c r="A141" s="105"/>
      <c r="B141" s="51"/>
      <c r="C141" s="51"/>
      <c r="D141" s="51"/>
      <c r="E141" s="51"/>
      <c r="F141" s="55"/>
      <c r="G141" s="56"/>
      <c r="H141" s="57"/>
      <c r="I141" s="51"/>
      <c r="J141" s="51"/>
      <c r="K141" s="58"/>
      <c r="L141" s="59"/>
      <c r="M141" s="58"/>
      <c r="N141" s="58"/>
      <c r="O141" s="77"/>
      <c r="P141" s="60"/>
      <c r="Q141" s="37"/>
      <c r="R141" s="70"/>
      <c r="S141" s="70"/>
      <c r="T141" s="70"/>
      <c r="U141" s="71"/>
      <c r="V141" s="73"/>
      <c r="W141" s="75"/>
      <c r="X141" s="64"/>
      <c r="Y141" s="51"/>
      <c r="Z141" s="51"/>
      <c r="AH141" s="18"/>
      <c r="AI141" s="18"/>
      <c r="AJ141" s="18"/>
      <c r="AK141" s="18"/>
      <c r="AL141" s="18"/>
      <c r="AM141" s="18"/>
      <c r="AN141" s="18"/>
    </row>
    <row r="142" spans="1:40">
      <c r="A142" s="105"/>
      <c r="B142" s="51"/>
      <c r="C142" s="51"/>
      <c r="D142" s="51"/>
      <c r="E142" s="51"/>
      <c r="F142" s="51"/>
      <c r="G142" s="51"/>
      <c r="H142" s="37"/>
      <c r="I142" s="51"/>
      <c r="J142" s="51"/>
      <c r="K142" s="58"/>
      <c r="L142" s="59"/>
      <c r="M142" s="58"/>
      <c r="N142" s="58"/>
      <c r="O142" s="77"/>
      <c r="P142" s="60"/>
      <c r="Q142" s="37"/>
      <c r="R142" s="70"/>
      <c r="S142" s="70"/>
      <c r="T142" s="70"/>
      <c r="U142" s="71"/>
      <c r="V142" s="73"/>
      <c r="W142" s="75"/>
      <c r="X142" s="64"/>
      <c r="Y142" s="51"/>
      <c r="Z142" s="51"/>
      <c r="AH142" s="18"/>
      <c r="AI142" s="18"/>
      <c r="AJ142" s="18"/>
      <c r="AK142" s="18"/>
      <c r="AL142" s="18"/>
      <c r="AM142" s="18"/>
      <c r="AN142" s="18"/>
    </row>
    <row r="143" spans="1:40">
      <c r="A143" s="51"/>
      <c r="B143" s="51"/>
      <c r="C143" s="51"/>
      <c r="D143" s="51"/>
      <c r="E143" s="51"/>
      <c r="F143" s="55"/>
      <c r="G143" s="56"/>
      <c r="H143" s="57"/>
      <c r="I143" s="51"/>
      <c r="J143" s="51"/>
      <c r="K143" s="58"/>
      <c r="L143" s="59"/>
      <c r="M143" s="58"/>
      <c r="N143" s="58"/>
      <c r="O143" s="51"/>
      <c r="P143" s="51"/>
      <c r="Q143" s="37"/>
      <c r="R143" s="70"/>
      <c r="S143" s="70"/>
      <c r="T143" s="70"/>
      <c r="U143" s="71"/>
      <c r="V143" s="73"/>
      <c r="W143" s="75"/>
      <c r="X143" s="64"/>
      <c r="Y143" s="51"/>
      <c r="Z143" s="51"/>
      <c r="AH143" s="18"/>
      <c r="AI143" s="18"/>
      <c r="AJ143" s="18"/>
      <c r="AK143" s="18"/>
      <c r="AL143" s="18"/>
      <c r="AM143" s="18"/>
      <c r="AN143" s="18"/>
    </row>
    <row r="144" spans="1:40">
      <c r="A144" s="51"/>
      <c r="B144" s="51"/>
      <c r="C144" s="51"/>
      <c r="D144" s="51"/>
      <c r="E144" s="51"/>
      <c r="F144" s="55"/>
      <c r="G144" s="56"/>
      <c r="H144" s="57"/>
      <c r="I144" s="51"/>
      <c r="J144" s="51"/>
      <c r="K144" s="58"/>
      <c r="L144" s="59"/>
      <c r="M144" s="58"/>
      <c r="N144" s="58"/>
      <c r="O144" s="51"/>
      <c r="P144" s="51"/>
      <c r="Q144" s="37"/>
      <c r="R144" s="70"/>
      <c r="S144" s="70"/>
      <c r="T144" s="70"/>
      <c r="U144" s="71"/>
      <c r="V144" s="73"/>
      <c r="W144" s="75"/>
      <c r="X144" s="64"/>
      <c r="Y144" s="51"/>
      <c r="Z144" s="51"/>
      <c r="AH144" s="18"/>
      <c r="AI144" s="18"/>
      <c r="AJ144" s="18"/>
      <c r="AK144" s="18"/>
      <c r="AL144" s="18"/>
      <c r="AM144" s="18"/>
      <c r="AN144" s="18"/>
    </row>
    <row r="145" spans="1:40">
      <c r="A145" s="51"/>
      <c r="B145" s="51"/>
      <c r="C145" s="51"/>
      <c r="D145" s="51"/>
      <c r="E145" s="51"/>
      <c r="F145" s="55"/>
      <c r="G145" s="56"/>
      <c r="H145" s="57"/>
      <c r="I145" s="51"/>
      <c r="J145" s="51"/>
      <c r="K145" s="58"/>
      <c r="L145" s="59"/>
      <c r="M145" s="58"/>
      <c r="N145" s="58"/>
      <c r="O145" s="51"/>
      <c r="P145" s="51"/>
      <c r="Q145" s="37"/>
      <c r="R145" s="70"/>
      <c r="S145" s="70"/>
      <c r="T145" s="70"/>
      <c r="U145" s="71"/>
      <c r="V145" s="73"/>
      <c r="W145" s="75"/>
      <c r="X145" s="64"/>
      <c r="Y145" s="51"/>
      <c r="Z145" s="51"/>
      <c r="AH145" s="18"/>
      <c r="AI145" s="18"/>
      <c r="AJ145" s="18"/>
      <c r="AK145" s="18"/>
      <c r="AL145" s="18"/>
      <c r="AM145" s="18"/>
      <c r="AN145" s="18"/>
    </row>
    <row r="146" spans="1:40">
      <c r="A146" s="51"/>
      <c r="B146" s="51"/>
      <c r="C146" s="51"/>
      <c r="D146" s="51"/>
      <c r="E146" s="51"/>
      <c r="F146" s="55"/>
      <c r="G146" s="56"/>
      <c r="H146" s="57"/>
      <c r="I146" s="51"/>
      <c r="J146" s="51"/>
      <c r="K146" s="58"/>
      <c r="L146" s="59"/>
      <c r="M146" s="58"/>
      <c r="N146" s="58"/>
      <c r="O146" s="51"/>
      <c r="P146" s="51"/>
      <c r="Q146" s="37"/>
      <c r="R146" s="70"/>
      <c r="S146" s="70"/>
      <c r="T146" s="70"/>
      <c r="U146" s="71"/>
      <c r="V146" s="73"/>
      <c r="W146" s="75"/>
      <c r="X146" s="64"/>
      <c r="Y146" s="51"/>
      <c r="Z146" s="51"/>
      <c r="AH146" s="18"/>
      <c r="AI146" s="18"/>
      <c r="AJ146" s="18"/>
      <c r="AK146" s="18"/>
      <c r="AL146" s="18"/>
      <c r="AM146" s="18"/>
      <c r="AN146" s="18"/>
    </row>
    <row r="147" spans="1:40">
      <c r="A147" s="51"/>
      <c r="B147" s="54"/>
      <c r="C147" s="51"/>
      <c r="D147" s="54"/>
      <c r="E147" s="51"/>
      <c r="F147" s="55"/>
      <c r="G147" s="56"/>
      <c r="H147" s="57"/>
      <c r="I147" s="51"/>
      <c r="J147" s="51"/>
      <c r="K147" s="58"/>
      <c r="L147" s="59"/>
      <c r="M147" s="58"/>
      <c r="N147" s="58"/>
      <c r="O147" s="51"/>
      <c r="P147" s="51"/>
      <c r="Q147" s="37"/>
      <c r="R147" s="70"/>
      <c r="S147" s="70"/>
      <c r="T147" s="70"/>
      <c r="U147" s="71"/>
      <c r="V147" s="73"/>
      <c r="W147" s="75"/>
      <c r="X147" s="64"/>
      <c r="Y147" s="51"/>
      <c r="Z147" s="51"/>
      <c r="AH147" s="18"/>
      <c r="AI147" s="18"/>
      <c r="AJ147" s="18"/>
      <c r="AK147" s="18"/>
      <c r="AL147" s="18"/>
      <c r="AM147" s="18"/>
      <c r="AN147" s="18"/>
    </row>
    <row r="148" spans="1:40">
      <c r="A148" s="110"/>
      <c r="B148" s="54"/>
      <c r="C148" s="51"/>
      <c r="D148" s="54"/>
      <c r="E148" s="111"/>
      <c r="F148" s="111"/>
      <c r="G148" s="110"/>
      <c r="H148" s="111"/>
      <c r="I148" s="111"/>
      <c r="J148" s="111"/>
      <c r="K148" s="58"/>
      <c r="L148" s="111"/>
      <c r="M148" s="58"/>
      <c r="N148" s="58"/>
      <c r="O148" s="77"/>
      <c r="P148" s="112"/>
      <c r="Q148" s="37"/>
      <c r="R148" s="113"/>
      <c r="S148" s="113"/>
      <c r="T148" s="113"/>
      <c r="U148" s="114"/>
      <c r="V148" s="115"/>
      <c r="W148" s="116"/>
      <c r="X148" s="117"/>
      <c r="Y148" s="111"/>
      <c r="Z148" s="111"/>
      <c r="AH148" s="18"/>
      <c r="AI148" s="18"/>
      <c r="AJ148" s="18"/>
      <c r="AK148" s="18"/>
      <c r="AL148" s="18"/>
      <c r="AM148" s="18"/>
      <c r="AN148" s="18"/>
    </row>
    <row r="149" spans="1:40">
      <c r="A149" s="51"/>
      <c r="B149" s="51"/>
      <c r="C149" s="51"/>
      <c r="D149" s="51"/>
      <c r="E149" s="51"/>
      <c r="F149" s="55"/>
      <c r="G149" s="56"/>
      <c r="H149" s="57"/>
      <c r="I149" s="51"/>
      <c r="J149" s="51"/>
      <c r="K149" s="58"/>
      <c r="L149" s="59"/>
      <c r="M149" s="58"/>
      <c r="N149" s="58"/>
      <c r="O149" s="51"/>
      <c r="P149" s="51"/>
      <c r="Q149" s="37"/>
      <c r="R149" s="70"/>
      <c r="S149" s="70"/>
      <c r="T149" s="70"/>
      <c r="U149" s="71"/>
      <c r="V149" s="73"/>
      <c r="W149" s="75"/>
      <c r="X149" s="64"/>
      <c r="Y149" s="51"/>
      <c r="Z149" s="51"/>
      <c r="AH149" s="18"/>
      <c r="AI149" s="18"/>
      <c r="AJ149" s="18"/>
      <c r="AK149" s="18"/>
      <c r="AL149" s="18"/>
      <c r="AM149" s="18"/>
      <c r="AN149" s="18"/>
    </row>
    <row r="150" spans="1:40">
      <c r="A150" s="51"/>
      <c r="B150" s="51"/>
      <c r="C150" s="51"/>
      <c r="D150" s="51"/>
      <c r="E150" s="51"/>
      <c r="F150" s="55"/>
      <c r="G150" s="56"/>
      <c r="H150" s="57"/>
      <c r="I150" s="51"/>
      <c r="J150" s="51"/>
      <c r="K150" s="58"/>
      <c r="L150" s="59"/>
      <c r="M150" s="58"/>
      <c r="N150" s="58"/>
      <c r="O150" s="51"/>
      <c r="P150" s="51"/>
      <c r="Q150" s="37"/>
      <c r="R150" s="70"/>
      <c r="S150" s="70"/>
      <c r="T150" s="70"/>
      <c r="U150" s="71"/>
      <c r="V150" s="73"/>
      <c r="W150" s="75"/>
      <c r="X150" s="64"/>
      <c r="Y150" s="51"/>
      <c r="Z150" s="51"/>
      <c r="AH150" s="18"/>
      <c r="AI150" s="18"/>
      <c r="AJ150" s="18"/>
      <c r="AK150" s="18"/>
      <c r="AL150" s="18"/>
      <c r="AM150" s="18"/>
      <c r="AN150" s="18"/>
    </row>
    <row r="151" spans="1:40">
      <c r="A151" s="51"/>
      <c r="B151" s="51"/>
      <c r="C151" s="51"/>
      <c r="D151" s="51"/>
      <c r="E151" s="51"/>
      <c r="F151" s="55"/>
      <c r="G151" s="56"/>
      <c r="H151" s="57"/>
      <c r="I151" s="51"/>
      <c r="J151" s="51"/>
      <c r="K151" s="58"/>
      <c r="L151" s="59"/>
      <c r="M151" s="58"/>
      <c r="N151" s="58"/>
      <c r="O151" s="51"/>
      <c r="P151" s="51"/>
      <c r="Q151" s="37"/>
      <c r="R151" s="70"/>
      <c r="S151" s="70"/>
      <c r="T151" s="70"/>
      <c r="U151" s="71"/>
      <c r="V151" s="73"/>
      <c r="W151" s="75"/>
      <c r="X151" s="64"/>
      <c r="Y151" s="51"/>
      <c r="Z151" s="51"/>
      <c r="AH151" s="18"/>
      <c r="AI151" s="18"/>
      <c r="AJ151" s="18"/>
      <c r="AK151" s="18"/>
      <c r="AL151" s="18"/>
      <c r="AM151" s="18"/>
      <c r="AN151" s="18"/>
    </row>
    <row r="152" spans="1:40">
      <c r="A152" s="51"/>
      <c r="B152" s="51"/>
      <c r="C152" s="51"/>
      <c r="D152" s="51"/>
      <c r="E152" s="51"/>
      <c r="F152" s="55"/>
      <c r="G152" s="56"/>
      <c r="H152" s="57"/>
      <c r="I152" s="51"/>
      <c r="J152" s="51"/>
      <c r="K152" s="58"/>
      <c r="L152" s="59"/>
      <c r="M152" s="58"/>
      <c r="N152" s="58"/>
      <c r="O152" s="51"/>
      <c r="P152" s="51"/>
      <c r="Q152" s="37"/>
      <c r="R152" s="70"/>
      <c r="S152" s="70"/>
      <c r="T152" s="70"/>
      <c r="U152" s="71"/>
      <c r="V152" s="73"/>
      <c r="W152" s="75"/>
      <c r="X152" s="64"/>
      <c r="Y152" s="51"/>
      <c r="Z152" s="51"/>
      <c r="AH152" s="18"/>
      <c r="AI152" s="18"/>
      <c r="AJ152" s="18"/>
      <c r="AK152" s="18"/>
      <c r="AL152" s="18"/>
      <c r="AM152" s="18"/>
      <c r="AN152" s="18"/>
    </row>
    <row r="153" spans="1:40">
      <c r="A153" s="51"/>
      <c r="B153" s="51"/>
      <c r="C153" s="51"/>
      <c r="D153" s="51"/>
      <c r="E153" s="51"/>
      <c r="F153" s="55"/>
      <c r="G153" s="56"/>
      <c r="H153" s="57"/>
      <c r="I153" s="51"/>
      <c r="J153" s="51"/>
      <c r="K153" s="58"/>
      <c r="L153" s="59"/>
      <c r="M153" s="58"/>
      <c r="N153" s="58"/>
      <c r="O153" s="51"/>
      <c r="P153" s="51"/>
      <c r="Q153" s="37"/>
      <c r="R153" s="70"/>
      <c r="S153" s="70"/>
      <c r="T153" s="70"/>
      <c r="U153" s="71"/>
      <c r="V153" s="73"/>
      <c r="W153" s="75"/>
      <c r="X153" s="64"/>
      <c r="Y153" s="51"/>
      <c r="Z153" s="51"/>
      <c r="AH153" s="18"/>
      <c r="AI153" s="18"/>
      <c r="AJ153" s="18"/>
      <c r="AK153" s="18"/>
      <c r="AL153" s="18"/>
      <c r="AM153" s="18"/>
      <c r="AN153" s="18"/>
    </row>
    <row r="154" spans="1:40">
      <c r="A154" s="51"/>
      <c r="B154" s="51"/>
      <c r="C154" s="51"/>
      <c r="D154" s="51"/>
      <c r="E154" s="51"/>
      <c r="F154" s="55"/>
      <c r="G154" s="56"/>
      <c r="H154" s="57"/>
      <c r="I154" s="51"/>
      <c r="J154" s="51"/>
      <c r="K154" s="58"/>
      <c r="L154" s="59"/>
      <c r="M154" s="58"/>
      <c r="N154" s="58"/>
      <c r="O154" s="51"/>
      <c r="P154" s="51"/>
      <c r="Q154" s="37"/>
      <c r="R154" s="70"/>
      <c r="S154" s="70"/>
      <c r="T154" s="70"/>
      <c r="U154" s="71"/>
      <c r="V154" s="73"/>
      <c r="W154" s="75"/>
      <c r="X154" s="64"/>
      <c r="Y154" s="51"/>
      <c r="Z154" s="51"/>
      <c r="AH154" s="18"/>
      <c r="AI154" s="18"/>
      <c r="AJ154" s="18"/>
      <c r="AK154" s="18"/>
      <c r="AL154" s="18"/>
      <c r="AM154" s="18"/>
      <c r="AN154" s="18"/>
    </row>
    <row r="155" spans="1:40">
      <c r="A155" s="51"/>
      <c r="B155" s="51"/>
      <c r="C155" s="51"/>
      <c r="D155" s="51"/>
      <c r="E155" s="51"/>
      <c r="F155" s="55"/>
      <c r="G155" s="56"/>
      <c r="H155" s="57"/>
      <c r="I155" s="51"/>
      <c r="J155" s="51"/>
      <c r="K155" s="58"/>
      <c r="L155" s="59"/>
      <c r="M155" s="58"/>
      <c r="N155" s="58"/>
      <c r="O155" s="51"/>
      <c r="P155" s="51"/>
      <c r="Q155" s="37"/>
      <c r="R155" s="70"/>
      <c r="S155" s="70"/>
      <c r="T155" s="70"/>
      <c r="U155" s="71"/>
      <c r="V155" s="73"/>
      <c r="W155" s="75"/>
      <c r="X155" s="64"/>
      <c r="Y155" s="51"/>
      <c r="Z155" s="51"/>
      <c r="AH155" s="18"/>
      <c r="AI155" s="18"/>
      <c r="AJ155" s="18"/>
      <c r="AK155" s="18"/>
      <c r="AL155" s="18"/>
      <c r="AM155" s="18"/>
      <c r="AN155" s="18"/>
    </row>
    <row r="156" spans="1:40">
      <c r="A156" s="51"/>
      <c r="B156" s="51"/>
      <c r="C156" s="51"/>
      <c r="D156" s="51"/>
      <c r="E156" s="51"/>
      <c r="F156" s="55"/>
      <c r="G156" s="56"/>
      <c r="H156" s="57"/>
      <c r="I156" s="51"/>
      <c r="J156" s="51"/>
      <c r="K156" s="58"/>
      <c r="L156" s="59"/>
      <c r="M156" s="58"/>
      <c r="N156" s="58"/>
      <c r="O156" s="51"/>
      <c r="P156" s="51"/>
      <c r="Q156" s="37"/>
      <c r="R156" s="70"/>
      <c r="S156" s="70"/>
      <c r="T156" s="70"/>
      <c r="U156" s="71"/>
      <c r="V156" s="73"/>
      <c r="W156" s="75"/>
      <c r="X156" s="64"/>
      <c r="Y156" s="51"/>
      <c r="Z156" s="51"/>
      <c r="AH156" s="18"/>
      <c r="AI156" s="18"/>
      <c r="AJ156" s="18"/>
      <c r="AK156" s="18"/>
      <c r="AL156" s="18"/>
      <c r="AM156" s="18"/>
      <c r="AN156" s="18"/>
    </row>
    <row r="157" spans="1:40">
      <c r="A157" s="51"/>
      <c r="B157" s="51"/>
      <c r="C157" s="51"/>
      <c r="D157" s="51"/>
      <c r="E157" s="51"/>
      <c r="F157" s="55"/>
      <c r="G157" s="56"/>
      <c r="H157" s="57"/>
      <c r="I157" s="51"/>
      <c r="J157" s="51"/>
      <c r="K157" s="58"/>
      <c r="L157" s="59"/>
      <c r="M157" s="58"/>
      <c r="N157" s="58"/>
      <c r="O157" s="51"/>
      <c r="P157" s="51"/>
      <c r="Q157" s="37"/>
      <c r="R157" s="70"/>
      <c r="S157" s="70"/>
      <c r="T157" s="70"/>
      <c r="U157" s="71"/>
      <c r="V157" s="73"/>
      <c r="W157" s="75"/>
      <c r="X157" s="64"/>
      <c r="Y157" s="51"/>
      <c r="Z157" s="51"/>
      <c r="AH157" s="18"/>
      <c r="AI157" s="18"/>
      <c r="AJ157" s="18"/>
      <c r="AK157" s="18"/>
      <c r="AL157" s="18"/>
      <c r="AM157" s="18"/>
      <c r="AN157" s="18"/>
    </row>
    <row r="158" spans="1:40">
      <c r="A158" s="51"/>
      <c r="B158" s="51"/>
      <c r="C158" s="51"/>
      <c r="D158" s="51"/>
      <c r="E158" s="51"/>
      <c r="F158" s="55"/>
      <c r="G158" s="56"/>
      <c r="H158" s="57"/>
      <c r="I158" s="51"/>
      <c r="J158" s="51"/>
      <c r="K158" s="58"/>
      <c r="L158" s="59"/>
      <c r="M158" s="58"/>
      <c r="N158" s="58"/>
      <c r="O158" s="51"/>
      <c r="P158" s="51"/>
      <c r="Q158" s="37"/>
      <c r="R158" s="70"/>
      <c r="S158" s="70"/>
      <c r="T158" s="70"/>
      <c r="U158" s="71"/>
      <c r="V158" s="73"/>
      <c r="W158" s="75"/>
      <c r="X158" s="64"/>
      <c r="Y158" s="51"/>
      <c r="Z158" s="51"/>
      <c r="AH158" s="18"/>
      <c r="AI158" s="18"/>
      <c r="AJ158" s="18"/>
      <c r="AK158" s="18"/>
      <c r="AL158" s="18"/>
      <c r="AM158" s="18"/>
      <c r="AN158" s="18"/>
    </row>
    <row r="159" spans="1:40">
      <c r="A159" s="51"/>
      <c r="B159" s="51"/>
      <c r="C159" s="51"/>
      <c r="D159" s="51"/>
      <c r="E159" s="51"/>
      <c r="F159" s="55"/>
      <c r="G159" s="56"/>
      <c r="H159" s="57"/>
      <c r="I159" s="51"/>
      <c r="J159" s="51"/>
      <c r="K159" s="58"/>
      <c r="L159" s="59"/>
      <c r="M159" s="58"/>
      <c r="N159" s="58"/>
      <c r="O159" s="51"/>
      <c r="P159" s="51"/>
      <c r="Q159" s="37"/>
      <c r="R159" s="70"/>
      <c r="S159" s="70"/>
      <c r="T159" s="70"/>
      <c r="U159" s="71"/>
      <c r="V159" s="73"/>
      <c r="W159" s="75"/>
      <c r="X159" s="117"/>
      <c r="Y159" s="111"/>
      <c r="Z159" s="111"/>
      <c r="AH159" s="18"/>
      <c r="AI159" s="18"/>
      <c r="AJ159" s="18"/>
      <c r="AK159" s="18"/>
      <c r="AL159" s="18"/>
      <c r="AM159" s="18"/>
      <c r="AN159" s="18"/>
    </row>
    <row r="160" spans="1:40">
      <c r="A160" s="54"/>
      <c r="B160" s="54"/>
      <c r="C160" s="51"/>
      <c r="D160" s="51"/>
      <c r="E160" s="51"/>
      <c r="F160" s="55"/>
      <c r="G160" s="56"/>
      <c r="H160" s="57"/>
      <c r="I160" s="51"/>
      <c r="J160" s="51"/>
      <c r="K160" s="58"/>
      <c r="L160" s="59"/>
      <c r="M160" s="58"/>
      <c r="N160" s="58"/>
      <c r="O160" s="51"/>
      <c r="P160" s="99"/>
      <c r="Q160" s="37"/>
      <c r="R160" s="51"/>
      <c r="S160" s="51"/>
      <c r="T160" s="51"/>
      <c r="U160" s="51"/>
      <c r="V160" s="51"/>
      <c r="W160" s="51"/>
      <c r="X160" s="64"/>
      <c r="Y160" s="51"/>
      <c r="Z160" s="51"/>
      <c r="AA160" s="51"/>
      <c r="AB160" s="51"/>
      <c r="AC160" s="94"/>
      <c r="AD160" s="94"/>
      <c r="AE160" s="94"/>
      <c r="AF160" s="94"/>
      <c r="AG160" s="94"/>
      <c r="AH160" s="18"/>
      <c r="AI160" s="18"/>
      <c r="AJ160" s="18"/>
      <c r="AK160" s="18"/>
      <c r="AL160" s="18"/>
      <c r="AM160" s="18"/>
      <c r="AN160" s="18"/>
    </row>
    <row r="161" spans="1:40">
      <c r="A161" s="54"/>
      <c r="B161" s="54"/>
      <c r="C161" s="51"/>
      <c r="D161" s="51"/>
      <c r="E161" s="51"/>
      <c r="F161" s="56"/>
      <c r="G161" s="54"/>
      <c r="H161" s="86"/>
      <c r="I161" s="51"/>
      <c r="J161" s="51"/>
      <c r="K161" s="58"/>
      <c r="L161" s="59"/>
      <c r="M161" s="58"/>
      <c r="N161" s="58"/>
      <c r="O161" s="77"/>
      <c r="P161" s="81"/>
      <c r="Q161" s="37"/>
      <c r="R161" s="74"/>
      <c r="S161" s="74"/>
      <c r="T161" s="74"/>
      <c r="U161" s="71"/>
      <c r="V161" s="73"/>
      <c r="W161" s="75"/>
      <c r="X161" s="64"/>
      <c r="Y161" s="51"/>
      <c r="Z161" s="51"/>
      <c r="AA161" s="82"/>
      <c r="AB161" s="82"/>
      <c r="AC161" s="82"/>
      <c r="AD161" s="82"/>
      <c r="AE161" s="82"/>
      <c r="AF161" s="82"/>
      <c r="AG161" s="82"/>
      <c r="AH161" s="18"/>
      <c r="AI161" s="18"/>
      <c r="AJ161" s="18"/>
      <c r="AK161" s="18"/>
      <c r="AL161" s="18"/>
      <c r="AM161" s="18"/>
      <c r="AN161" s="18"/>
    </row>
    <row r="162" spans="1:40">
      <c r="A162" s="54"/>
      <c r="B162" s="54"/>
      <c r="C162" s="51"/>
      <c r="D162" s="51"/>
      <c r="E162" s="51"/>
      <c r="F162" s="56"/>
      <c r="G162" s="54"/>
      <c r="H162" s="86"/>
      <c r="I162" s="51"/>
      <c r="J162" s="51"/>
      <c r="K162" s="58"/>
      <c r="L162" s="59"/>
      <c r="M162" s="58"/>
      <c r="N162" s="58"/>
      <c r="O162" s="77"/>
      <c r="P162" s="81"/>
      <c r="Q162" s="37"/>
      <c r="R162" s="74"/>
      <c r="S162" s="74"/>
      <c r="T162" s="74"/>
      <c r="U162" s="71"/>
      <c r="V162" s="73"/>
      <c r="W162" s="75"/>
      <c r="X162" s="64"/>
      <c r="Y162" s="51"/>
      <c r="Z162" s="51"/>
      <c r="AA162" s="82"/>
      <c r="AB162" s="82"/>
      <c r="AC162" s="82"/>
      <c r="AD162" s="82"/>
      <c r="AE162" s="82"/>
      <c r="AF162" s="82"/>
      <c r="AG162" s="82"/>
      <c r="AH162" s="18"/>
      <c r="AI162" s="18"/>
      <c r="AJ162" s="18"/>
      <c r="AK162" s="18"/>
      <c r="AL162" s="18"/>
      <c r="AM162" s="18"/>
      <c r="AN162" s="18"/>
    </row>
    <row r="163" spans="1:40">
      <c r="A163" s="54"/>
      <c r="B163" s="54"/>
      <c r="C163" s="51"/>
      <c r="D163" s="51"/>
      <c r="E163" s="51"/>
      <c r="F163" s="56"/>
      <c r="G163" s="54"/>
      <c r="H163" s="86"/>
      <c r="I163" s="51"/>
      <c r="J163" s="51"/>
      <c r="K163" s="58"/>
      <c r="L163" s="59"/>
      <c r="M163" s="58"/>
      <c r="N163" s="58"/>
      <c r="O163" s="77"/>
      <c r="P163" s="81"/>
      <c r="Q163" s="37"/>
      <c r="R163" s="74"/>
      <c r="S163" s="74"/>
      <c r="T163" s="74"/>
      <c r="U163" s="71"/>
      <c r="V163" s="73"/>
      <c r="W163" s="75"/>
      <c r="X163" s="78"/>
      <c r="Y163" s="54"/>
      <c r="Z163" s="54"/>
      <c r="AA163" s="82"/>
      <c r="AB163" s="82"/>
      <c r="AC163" s="82"/>
      <c r="AD163" s="82"/>
      <c r="AE163" s="82"/>
      <c r="AF163" s="82"/>
      <c r="AG163" s="82"/>
      <c r="AH163" s="18"/>
      <c r="AI163" s="18"/>
      <c r="AJ163" s="18"/>
      <c r="AK163" s="18"/>
      <c r="AL163" s="18"/>
      <c r="AM163" s="18"/>
      <c r="AN163" s="18"/>
    </row>
    <row r="164" spans="1:40">
      <c r="A164" s="54"/>
      <c r="B164" s="54"/>
      <c r="C164" s="51"/>
      <c r="D164" s="51"/>
      <c r="E164" s="51"/>
      <c r="F164" s="56"/>
      <c r="G164" s="54"/>
      <c r="H164" s="86"/>
      <c r="I164" s="51"/>
      <c r="J164" s="51"/>
      <c r="K164" s="58"/>
      <c r="L164" s="59"/>
      <c r="M164" s="58"/>
      <c r="N164" s="58"/>
      <c r="O164" s="77"/>
      <c r="P164" s="81"/>
      <c r="Q164" s="37"/>
      <c r="R164" s="74"/>
      <c r="S164" s="74"/>
      <c r="T164" s="74"/>
      <c r="U164" s="71"/>
      <c r="V164" s="73"/>
      <c r="W164" s="75"/>
      <c r="X164" s="64"/>
      <c r="Y164" s="51"/>
      <c r="Z164" s="51"/>
      <c r="AA164" s="82"/>
      <c r="AB164" s="82"/>
      <c r="AC164" s="82"/>
      <c r="AD164" s="82"/>
      <c r="AE164" s="82"/>
      <c r="AF164" s="82"/>
      <c r="AG164" s="82"/>
      <c r="AH164" s="18"/>
      <c r="AI164" s="18"/>
      <c r="AJ164" s="18"/>
      <c r="AK164" s="18"/>
      <c r="AL164" s="18"/>
      <c r="AM164" s="18"/>
      <c r="AN164" s="18"/>
    </row>
    <row r="165" spans="1:40">
      <c r="A165" s="54"/>
      <c r="B165" s="54"/>
      <c r="C165" s="51"/>
      <c r="D165" s="51"/>
      <c r="E165" s="51"/>
      <c r="F165" s="56"/>
      <c r="G165" s="54"/>
      <c r="H165" s="86"/>
      <c r="I165" s="51"/>
      <c r="J165" s="51"/>
      <c r="K165" s="58"/>
      <c r="L165" s="59"/>
      <c r="M165" s="58"/>
      <c r="N165" s="58"/>
      <c r="O165" s="77"/>
      <c r="P165" s="81"/>
      <c r="Q165" s="37"/>
      <c r="R165" s="74"/>
      <c r="S165" s="74"/>
      <c r="T165" s="74"/>
      <c r="U165" s="71"/>
      <c r="V165" s="73"/>
      <c r="W165" s="75"/>
      <c r="X165" s="64"/>
      <c r="Y165" s="51"/>
      <c r="Z165" s="51"/>
      <c r="AA165" s="82"/>
      <c r="AB165" s="82"/>
      <c r="AC165" s="82"/>
      <c r="AD165" s="82"/>
      <c r="AE165" s="82"/>
      <c r="AF165" s="82"/>
      <c r="AG165" s="82"/>
      <c r="AH165" s="18"/>
      <c r="AI165" s="18"/>
      <c r="AJ165" s="18"/>
      <c r="AK165" s="18"/>
      <c r="AL165" s="18"/>
      <c r="AM165" s="18"/>
      <c r="AN165" s="18"/>
    </row>
    <row r="166" spans="1:40">
      <c r="A166" s="54"/>
      <c r="B166" s="54"/>
      <c r="C166" s="51"/>
      <c r="D166" s="51"/>
      <c r="E166" s="51"/>
      <c r="F166" s="56"/>
      <c r="G166" s="54"/>
      <c r="H166" s="86"/>
      <c r="I166" s="51"/>
      <c r="J166" s="51"/>
      <c r="K166" s="58"/>
      <c r="L166" s="59"/>
      <c r="M166" s="58"/>
      <c r="N166" s="58"/>
      <c r="O166" s="77"/>
      <c r="P166" s="81"/>
      <c r="Q166" s="37"/>
      <c r="R166" s="74"/>
      <c r="S166" s="74"/>
      <c r="T166" s="74"/>
      <c r="U166" s="71"/>
      <c r="V166" s="73"/>
      <c r="W166" s="75"/>
      <c r="X166" s="64"/>
      <c r="Y166" s="51"/>
      <c r="Z166" s="51"/>
      <c r="AA166" s="82"/>
      <c r="AB166" s="82"/>
      <c r="AC166" s="82"/>
      <c r="AD166" s="82"/>
      <c r="AE166" s="82"/>
      <c r="AF166" s="82"/>
      <c r="AG166" s="82"/>
      <c r="AH166" s="18"/>
      <c r="AI166" s="18"/>
      <c r="AJ166" s="18"/>
      <c r="AK166" s="18"/>
      <c r="AL166" s="18"/>
      <c r="AM166" s="18"/>
      <c r="AN166" s="18"/>
    </row>
    <row r="167" spans="1:40">
      <c r="A167" s="54"/>
      <c r="B167" s="54"/>
      <c r="C167" s="51"/>
      <c r="D167" s="51"/>
      <c r="E167" s="51"/>
      <c r="F167" s="56"/>
      <c r="G167" s="54"/>
      <c r="H167" s="86"/>
      <c r="I167" s="51"/>
      <c r="J167" s="51"/>
      <c r="K167" s="58"/>
      <c r="L167" s="59"/>
      <c r="M167" s="58"/>
      <c r="N167" s="58"/>
      <c r="O167" s="77"/>
      <c r="P167" s="81"/>
      <c r="Q167" s="37"/>
      <c r="R167" s="74"/>
      <c r="S167" s="74"/>
      <c r="T167" s="74"/>
      <c r="U167" s="71"/>
      <c r="V167" s="73"/>
      <c r="W167" s="75"/>
      <c r="X167" s="64"/>
      <c r="Y167" s="51"/>
      <c r="Z167" s="51"/>
      <c r="AA167" s="82"/>
      <c r="AB167" s="82"/>
      <c r="AC167" s="82"/>
      <c r="AD167" s="82"/>
      <c r="AE167" s="82"/>
      <c r="AF167" s="82"/>
      <c r="AG167" s="82"/>
      <c r="AH167" s="18"/>
      <c r="AI167" s="18"/>
      <c r="AJ167" s="18"/>
      <c r="AK167" s="18"/>
      <c r="AL167" s="18"/>
      <c r="AM167" s="18"/>
      <c r="AN167" s="18"/>
    </row>
    <row r="168" spans="1:40">
      <c r="A168" s="51"/>
      <c r="B168" s="51"/>
      <c r="C168" s="51"/>
      <c r="D168" s="51"/>
      <c r="E168" s="51"/>
      <c r="F168" s="55"/>
      <c r="G168" s="56"/>
      <c r="H168" s="57"/>
      <c r="I168" s="51"/>
      <c r="J168" s="51"/>
      <c r="K168" s="58"/>
      <c r="L168" s="59"/>
      <c r="M168" s="58"/>
      <c r="N168" s="58"/>
      <c r="O168" s="51"/>
      <c r="P168" s="51"/>
      <c r="Q168" s="37"/>
      <c r="R168" s="70"/>
      <c r="S168" s="70"/>
      <c r="T168" s="70"/>
      <c r="U168" s="71"/>
      <c r="V168" s="73"/>
      <c r="W168" s="75"/>
      <c r="X168" s="117"/>
      <c r="Y168" s="111"/>
      <c r="Z168" s="111"/>
      <c r="AH168" s="18"/>
      <c r="AI168" s="18"/>
      <c r="AJ168" s="18"/>
      <c r="AK168" s="18"/>
      <c r="AL168" s="18"/>
      <c r="AM168" s="18"/>
      <c r="AN168" s="18"/>
    </row>
    <row r="169" spans="1:40">
      <c r="A169" s="51"/>
      <c r="B169" s="51"/>
      <c r="C169" s="51"/>
      <c r="D169" s="51"/>
      <c r="E169" s="51"/>
      <c r="F169" s="55"/>
      <c r="G169" s="56"/>
      <c r="H169" s="57"/>
      <c r="I169" s="51"/>
      <c r="J169" s="51"/>
      <c r="K169" s="58"/>
      <c r="L169" s="59"/>
      <c r="M169" s="58"/>
      <c r="N169" s="58"/>
      <c r="O169" s="51"/>
      <c r="P169" s="51"/>
      <c r="Q169" s="37"/>
      <c r="R169" s="70"/>
      <c r="S169" s="70"/>
      <c r="T169" s="70"/>
      <c r="U169" s="71"/>
      <c r="V169" s="73"/>
      <c r="W169" s="75"/>
      <c r="X169" s="117"/>
      <c r="Y169" s="111"/>
      <c r="Z169" s="111"/>
      <c r="AH169" s="18"/>
      <c r="AI169" s="18"/>
      <c r="AJ169" s="18"/>
      <c r="AK169" s="18"/>
      <c r="AL169" s="18"/>
      <c r="AM169" s="18"/>
      <c r="AN169" s="18"/>
    </row>
    <row r="170" spans="1:40">
      <c r="A170" s="51"/>
      <c r="B170" s="54"/>
      <c r="C170" s="51"/>
      <c r="D170" s="54"/>
      <c r="E170" s="51"/>
      <c r="F170" s="55"/>
      <c r="G170" s="56"/>
      <c r="H170" s="57"/>
      <c r="I170" s="51"/>
      <c r="J170" s="51"/>
      <c r="K170" s="58"/>
      <c r="L170" s="59"/>
      <c r="M170" s="58"/>
      <c r="N170" s="58"/>
      <c r="O170" s="51"/>
      <c r="P170" s="100"/>
      <c r="Q170" s="37"/>
      <c r="R170" s="70"/>
      <c r="S170" s="70"/>
      <c r="T170" s="70"/>
      <c r="U170" s="71"/>
      <c r="V170" s="73"/>
      <c r="W170" s="75"/>
      <c r="X170" s="117"/>
      <c r="Y170" s="111"/>
      <c r="Z170" s="111"/>
      <c r="AH170" s="18"/>
      <c r="AI170" s="18"/>
      <c r="AJ170" s="18"/>
      <c r="AK170" s="18"/>
      <c r="AL170" s="18"/>
      <c r="AM170" s="18"/>
      <c r="AN170" s="18"/>
    </row>
    <row r="171" spans="1:40">
      <c r="A171" s="118"/>
      <c r="B171" s="54"/>
      <c r="C171" s="51"/>
      <c r="D171" s="54"/>
      <c r="E171" s="111"/>
      <c r="F171" s="111"/>
      <c r="G171" s="110"/>
      <c r="H171" s="111"/>
      <c r="I171" s="111"/>
      <c r="J171" s="111"/>
      <c r="K171" s="58"/>
      <c r="L171" s="111"/>
      <c r="M171" s="58"/>
      <c r="N171" s="58"/>
      <c r="O171" s="77"/>
      <c r="P171" s="112"/>
      <c r="Q171" s="37"/>
      <c r="R171" s="113"/>
      <c r="S171" s="113"/>
      <c r="T171" s="113"/>
      <c r="U171" s="114"/>
      <c r="V171" s="115"/>
      <c r="W171" s="116"/>
      <c r="X171" s="117"/>
      <c r="Y171" s="111"/>
      <c r="Z171" s="111"/>
      <c r="AH171" s="18"/>
      <c r="AI171" s="18"/>
      <c r="AJ171" s="18"/>
      <c r="AK171" s="18"/>
      <c r="AL171" s="18"/>
      <c r="AM171" s="18"/>
      <c r="AN171" s="18"/>
    </row>
    <row r="172" spans="1:40">
      <c r="A172" s="118"/>
      <c r="B172" s="54"/>
      <c r="C172" s="51"/>
      <c r="D172" s="54"/>
      <c r="E172" s="111"/>
      <c r="F172" s="111"/>
      <c r="G172" s="110"/>
      <c r="H172" s="110"/>
      <c r="I172" s="111"/>
      <c r="J172" s="111"/>
      <c r="K172" s="58"/>
      <c r="L172" s="111"/>
      <c r="M172" s="58"/>
      <c r="N172" s="58"/>
      <c r="O172" s="77"/>
      <c r="P172" s="112"/>
      <c r="Q172" s="37"/>
      <c r="R172" s="113"/>
      <c r="S172" s="113"/>
      <c r="T172" s="113"/>
      <c r="U172" s="114"/>
      <c r="V172" s="115"/>
      <c r="W172" s="116"/>
      <c r="X172" s="117"/>
      <c r="Y172" s="111"/>
      <c r="Z172" s="111"/>
      <c r="AH172" s="18"/>
      <c r="AI172" s="18"/>
      <c r="AJ172" s="18"/>
      <c r="AK172" s="18"/>
      <c r="AL172" s="18"/>
      <c r="AM172" s="18"/>
      <c r="AN172" s="18"/>
    </row>
    <row r="173" spans="1:40">
      <c r="A173" s="118"/>
      <c r="B173" s="54"/>
      <c r="C173" s="51"/>
      <c r="D173" s="54"/>
      <c r="E173" s="111"/>
      <c r="F173" s="111"/>
      <c r="G173" s="110"/>
      <c r="H173" s="111"/>
      <c r="I173" s="111"/>
      <c r="J173" s="111"/>
      <c r="K173" s="58"/>
      <c r="L173" s="111"/>
      <c r="M173" s="58"/>
      <c r="N173" s="58"/>
      <c r="O173" s="77"/>
      <c r="P173" s="112"/>
      <c r="Q173" s="37"/>
      <c r="R173" s="113"/>
      <c r="S173" s="113"/>
      <c r="T173" s="113"/>
      <c r="U173" s="114"/>
      <c r="V173" s="115"/>
      <c r="W173" s="116"/>
      <c r="X173" s="117"/>
      <c r="Y173" s="111"/>
      <c r="Z173" s="111"/>
      <c r="AH173" s="18"/>
      <c r="AI173" s="18"/>
      <c r="AJ173" s="18"/>
      <c r="AK173" s="18"/>
      <c r="AL173" s="18"/>
      <c r="AM173" s="18"/>
      <c r="AN173" s="18"/>
    </row>
    <row r="174" spans="1:40">
      <c r="A174" s="118"/>
      <c r="B174" s="54"/>
      <c r="C174" s="51"/>
      <c r="D174" s="54"/>
      <c r="E174" s="111"/>
      <c r="F174" s="111"/>
      <c r="G174" s="110"/>
      <c r="H174" s="111"/>
      <c r="I174" s="111"/>
      <c r="J174" s="111"/>
      <c r="K174" s="58"/>
      <c r="L174" s="111"/>
      <c r="M174" s="58"/>
      <c r="N174" s="58"/>
      <c r="O174" s="77"/>
      <c r="P174" s="112"/>
      <c r="Q174" s="37"/>
      <c r="R174" s="113"/>
      <c r="S174" s="113"/>
      <c r="T174" s="113"/>
      <c r="U174" s="114"/>
      <c r="V174" s="115"/>
      <c r="W174" s="116"/>
      <c r="X174" s="117"/>
      <c r="Y174" s="111"/>
      <c r="Z174" s="111"/>
      <c r="AH174" s="18"/>
      <c r="AI174" s="18"/>
      <c r="AJ174" s="18"/>
      <c r="AK174" s="18"/>
      <c r="AL174" s="18"/>
      <c r="AM174" s="18"/>
      <c r="AN174" s="18"/>
    </row>
    <row r="175" spans="1:40">
      <c r="A175" s="118"/>
      <c r="B175" s="120"/>
      <c r="C175" s="51"/>
      <c r="D175" s="120"/>
      <c r="E175" s="111"/>
      <c r="F175" s="111"/>
      <c r="G175" s="110"/>
      <c r="H175" s="111"/>
      <c r="I175" s="111"/>
      <c r="J175" s="111"/>
      <c r="K175" s="58"/>
      <c r="L175" s="111"/>
      <c r="M175" s="58"/>
      <c r="N175" s="58"/>
      <c r="O175" s="77"/>
      <c r="P175" s="112"/>
      <c r="Q175" s="37"/>
      <c r="R175" s="113"/>
      <c r="S175" s="113"/>
      <c r="T175" s="113"/>
      <c r="U175" s="114"/>
      <c r="V175" s="115"/>
      <c r="W175" s="116"/>
      <c r="X175" s="117"/>
      <c r="Y175" s="111"/>
      <c r="Z175" s="111"/>
      <c r="AH175" s="18"/>
      <c r="AI175" s="18"/>
      <c r="AJ175" s="18"/>
      <c r="AK175" s="18"/>
      <c r="AL175" s="18"/>
      <c r="AM175" s="18"/>
      <c r="AN175" s="18"/>
    </row>
    <row r="176" spans="1:40">
      <c r="A176" s="118"/>
      <c r="B176" s="120"/>
      <c r="C176" s="51"/>
      <c r="D176" s="120"/>
      <c r="E176" s="111"/>
      <c r="F176" s="111"/>
      <c r="G176" s="110"/>
      <c r="H176" s="110"/>
      <c r="I176" s="111"/>
      <c r="J176" s="111"/>
      <c r="K176" s="58"/>
      <c r="L176" s="111"/>
      <c r="M176" s="58"/>
      <c r="N176" s="58"/>
      <c r="O176" s="77"/>
      <c r="P176" s="112"/>
      <c r="Q176" s="37"/>
      <c r="R176" s="113"/>
      <c r="S176" s="113"/>
      <c r="T176" s="113"/>
      <c r="U176" s="114"/>
      <c r="V176" s="115"/>
      <c r="W176" s="116"/>
      <c r="X176" s="117"/>
      <c r="Y176" s="111"/>
      <c r="Z176" s="111"/>
      <c r="AH176" s="18"/>
      <c r="AI176" s="18"/>
      <c r="AJ176" s="18"/>
      <c r="AK176" s="18"/>
      <c r="AL176" s="18"/>
      <c r="AM176" s="18"/>
      <c r="AN176" s="18"/>
    </row>
    <row r="177" spans="1:40">
      <c r="A177" s="118"/>
      <c r="B177" s="120"/>
      <c r="C177" s="51"/>
      <c r="D177" s="120"/>
      <c r="E177" s="111"/>
      <c r="F177" s="111"/>
      <c r="G177" s="110"/>
      <c r="H177" s="111"/>
      <c r="I177" s="111"/>
      <c r="J177" s="111"/>
      <c r="K177" s="58"/>
      <c r="L177" s="111"/>
      <c r="M177" s="58"/>
      <c r="N177" s="58"/>
      <c r="O177" s="77"/>
      <c r="P177" s="112"/>
      <c r="Q177" s="37"/>
      <c r="R177" s="113"/>
      <c r="S177" s="113"/>
      <c r="T177" s="113"/>
      <c r="U177" s="114"/>
      <c r="V177" s="115"/>
      <c r="W177" s="116"/>
      <c r="X177" s="117"/>
      <c r="Y177" s="111"/>
      <c r="Z177" s="111"/>
      <c r="AH177" s="18"/>
      <c r="AI177" s="18"/>
      <c r="AJ177" s="18"/>
      <c r="AK177" s="18"/>
      <c r="AL177" s="18"/>
      <c r="AM177" s="18"/>
      <c r="AN177" s="18"/>
    </row>
    <row r="178" spans="1:40">
      <c r="A178" s="118"/>
      <c r="B178" s="120"/>
      <c r="C178" s="51"/>
      <c r="D178" s="120"/>
      <c r="E178" s="111"/>
      <c r="F178" s="111"/>
      <c r="G178" s="110"/>
      <c r="H178" s="110"/>
      <c r="I178" s="111"/>
      <c r="J178" s="111"/>
      <c r="K178" s="58"/>
      <c r="L178" s="111"/>
      <c r="M178" s="58"/>
      <c r="N178" s="58"/>
      <c r="O178" s="77"/>
      <c r="P178" s="112"/>
      <c r="Q178" s="37"/>
      <c r="R178" s="113"/>
      <c r="S178" s="113"/>
      <c r="T178" s="113"/>
      <c r="U178" s="114"/>
      <c r="V178" s="115"/>
      <c r="W178" s="116"/>
      <c r="X178" s="117"/>
      <c r="Y178" s="111"/>
      <c r="Z178" s="111"/>
      <c r="AH178" s="18"/>
      <c r="AI178" s="18"/>
      <c r="AJ178" s="18"/>
      <c r="AK178" s="18"/>
      <c r="AL178" s="18"/>
      <c r="AM178" s="18"/>
      <c r="AN178" s="18"/>
    </row>
    <row r="179" spans="1:40">
      <c r="A179" s="118"/>
      <c r="B179" s="120"/>
      <c r="C179" s="51"/>
      <c r="D179" s="120"/>
      <c r="E179" s="111"/>
      <c r="F179" s="111"/>
      <c r="G179" s="110"/>
      <c r="H179" s="111"/>
      <c r="I179" s="111"/>
      <c r="J179" s="111"/>
      <c r="K179" s="58"/>
      <c r="L179" s="111"/>
      <c r="M179" s="58"/>
      <c r="N179" s="58"/>
      <c r="O179" s="77"/>
      <c r="P179" s="112"/>
      <c r="Q179" s="37"/>
      <c r="R179" s="113"/>
      <c r="S179" s="113"/>
      <c r="T179" s="113"/>
      <c r="U179" s="114"/>
      <c r="V179" s="115"/>
      <c r="W179" s="116"/>
      <c r="X179" s="117"/>
      <c r="Y179" s="111"/>
      <c r="Z179" s="111"/>
      <c r="AH179" s="18"/>
      <c r="AI179" s="18"/>
      <c r="AJ179" s="18"/>
      <c r="AK179" s="18"/>
      <c r="AL179" s="18"/>
      <c r="AM179" s="18"/>
      <c r="AN179" s="18"/>
    </row>
    <row r="180" spans="1:40">
      <c r="A180" s="118"/>
      <c r="B180" s="120"/>
      <c r="C180" s="51"/>
      <c r="D180" s="120"/>
      <c r="E180" s="111"/>
      <c r="F180" s="111"/>
      <c r="G180" s="110"/>
      <c r="H180" s="111"/>
      <c r="I180" s="111"/>
      <c r="J180" s="111"/>
      <c r="K180" s="58"/>
      <c r="L180" s="111"/>
      <c r="M180" s="58"/>
      <c r="N180" s="58"/>
      <c r="O180" s="77"/>
      <c r="P180" s="112"/>
      <c r="Q180" s="37"/>
      <c r="R180" s="113"/>
      <c r="S180" s="113"/>
      <c r="T180" s="113"/>
      <c r="U180" s="114"/>
      <c r="V180" s="115"/>
      <c r="W180" s="116"/>
      <c r="X180" s="117"/>
      <c r="Y180" s="111"/>
      <c r="Z180" s="111"/>
      <c r="AH180" s="18"/>
      <c r="AI180" s="18"/>
      <c r="AJ180" s="18"/>
      <c r="AK180" s="18"/>
      <c r="AL180" s="18"/>
      <c r="AM180" s="18"/>
      <c r="AN180" s="18"/>
    </row>
    <row r="181" spans="1:40">
      <c r="A181" s="51"/>
      <c r="B181" s="51"/>
      <c r="C181" s="51"/>
      <c r="D181" s="51"/>
      <c r="E181" s="51"/>
      <c r="F181" s="55"/>
      <c r="G181" s="56"/>
      <c r="H181" s="57"/>
      <c r="I181" s="51"/>
      <c r="J181" s="51"/>
      <c r="K181" s="58"/>
      <c r="L181" s="59"/>
      <c r="M181" s="58"/>
      <c r="N181" s="58"/>
      <c r="O181" s="51"/>
      <c r="P181" s="51"/>
      <c r="Q181" s="37"/>
      <c r="R181" s="70"/>
      <c r="S181" s="70"/>
      <c r="T181" s="70"/>
      <c r="U181" s="71"/>
      <c r="V181" s="73"/>
      <c r="W181" s="75"/>
      <c r="X181" s="117"/>
      <c r="Y181" s="111"/>
      <c r="Z181" s="111"/>
      <c r="AH181" s="18"/>
      <c r="AI181" s="18"/>
      <c r="AJ181" s="18"/>
      <c r="AK181" s="18"/>
      <c r="AL181" s="18"/>
      <c r="AM181" s="18"/>
      <c r="AN181" s="18"/>
    </row>
    <row r="182" spans="1:40">
      <c r="A182" s="51"/>
      <c r="B182" s="51"/>
      <c r="C182" s="51"/>
      <c r="D182" s="51"/>
      <c r="E182" s="51"/>
      <c r="F182" s="55"/>
      <c r="G182" s="56"/>
      <c r="H182" s="57"/>
      <c r="I182" s="51"/>
      <c r="J182" s="51"/>
      <c r="K182" s="58"/>
      <c r="L182" s="59"/>
      <c r="M182" s="58"/>
      <c r="N182" s="58"/>
      <c r="O182" s="51"/>
      <c r="P182" s="51"/>
      <c r="Q182" s="37"/>
      <c r="R182" s="70"/>
      <c r="S182" s="70"/>
      <c r="T182" s="70"/>
      <c r="U182" s="71"/>
      <c r="V182" s="73"/>
      <c r="W182" s="75"/>
      <c r="X182" s="117"/>
      <c r="Y182" s="111"/>
      <c r="Z182" s="111"/>
      <c r="AH182" s="18"/>
      <c r="AI182" s="18"/>
      <c r="AJ182" s="18"/>
      <c r="AK182" s="18"/>
      <c r="AL182" s="18"/>
      <c r="AM182" s="18"/>
      <c r="AN182" s="18"/>
    </row>
    <row r="183" spans="1:40">
      <c r="A183" s="51"/>
      <c r="B183" s="51"/>
      <c r="C183" s="51"/>
      <c r="D183" s="51"/>
      <c r="E183" s="51"/>
      <c r="F183" s="55"/>
      <c r="G183" s="56"/>
      <c r="H183" s="57"/>
      <c r="I183" s="51"/>
      <c r="J183" s="51"/>
      <c r="K183" s="58"/>
      <c r="L183" s="59"/>
      <c r="M183" s="58"/>
      <c r="N183" s="58"/>
      <c r="O183" s="51"/>
      <c r="P183" s="51"/>
      <c r="Q183" s="37"/>
      <c r="R183" s="70"/>
      <c r="S183" s="70"/>
      <c r="T183" s="70"/>
      <c r="U183" s="71"/>
      <c r="V183" s="73"/>
      <c r="W183" s="75"/>
      <c r="X183" s="117"/>
      <c r="Y183" s="111"/>
      <c r="Z183" s="111"/>
      <c r="AH183" s="18"/>
      <c r="AI183" s="18"/>
      <c r="AJ183" s="18"/>
      <c r="AK183" s="18"/>
      <c r="AL183" s="18"/>
      <c r="AM183" s="18"/>
      <c r="AN183" s="18"/>
    </row>
    <row r="184" spans="1:40">
      <c r="A184" s="51"/>
      <c r="B184" s="51"/>
      <c r="C184" s="51"/>
      <c r="D184" s="51"/>
      <c r="E184" s="51"/>
      <c r="F184" s="55"/>
      <c r="G184" s="56"/>
      <c r="H184" s="57"/>
      <c r="I184" s="51"/>
      <c r="J184" s="51"/>
      <c r="K184" s="58"/>
      <c r="L184" s="59"/>
      <c r="M184" s="58"/>
      <c r="N184" s="58"/>
      <c r="O184" s="51"/>
      <c r="P184" s="51"/>
      <c r="Q184" s="37"/>
      <c r="R184" s="70"/>
      <c r="S184" s="70"/>
      <c r="T184" s="70"/>
      <c r="U184" s="71"/>
      <c r="V184" s="73"/>
      <c r="W184" s="75"/>
      <c r="X184" s="117"/>
      <c r="Y184" s="111"/>
      <c r="Z184" s="111"/>
      <c r="AH184" s="18"/>
      <c r="AI184" s="18"/>
      <c r="AJ184" s="18"/>
      <c r="AK184" s="18"/>
      <c r="AL184" s="18"/>
      <c r="AM184" s="18"/>
      <c r="AN184" s="18"/>
    </row>
    <row r="185" spans="1:40">
      <c r="A185" s="51"/>
      <c r="B185" s="51"/>
      <c r="C185" s="51"/>
      <c r="D185" s="51"/>
      <c r="E185" s="51"/>
      <c r="F185" s="55"/>
      <c r="G185" s="56"/>
      <c r="H185" s="57"/>
      <c r="I185" s="51"/>
      <c r="J185" s="51"/>
      <c r="K185" s="58"/>
      <c r="L185" s="59"/>
      <c r="M185" s="58"/>
      <c r="N185" s="58"/>
      <c r="O185" s="51"/>
      <c r="P185" s="51"/>
      <c r="Q185" s="37"/>
      <c r="R185" s="70"/>
      <c r="S185" s="70"/>
      <c r="T185" s="70"/>
      <c r="U185" s="71"/>
      <c r="V185" s="73"/>
      <c r="W185" s="75"/>
      <c r="X185" s="117"/>
      <c r="Y185" s="111"/>
      <c r="Z185" s="111"/>
      <c r="AH185" s="18"/>
      <c r="AI185" s="18"/>
      <c r="AJ185" s="18"/>
      <c r="AK185" s="18"/>
      <c r="AL185" s="18"/>
      <c r="AM185" s="18"/>
      <c r="AN185" s="18"/>
    </row>
    <row r="186" spans="1:40">
      <c r="A186" s="51"/>
      <c r="B186" s="51"/>
      <c r="C186" s="51"/>
      <c r="D186" s="51"/>
      <c r="E186" s="51"/>
      <c r="F186" s="55"/>
      <c r="G186" s="56"/>
      <c r="H186" s="57"/>
      <c r="I186" s="51"/>
      <c r="J186" s="51"/>
      <c r="K186" s="58"/>
      <c r="L186" s="59"/>
      <c r="M186" s="58"/>
      <c r="N186" s="58"/>
      <c r="O186" s="51"/>
      <c r="P186" s="51"/>
      <c r="Q186" s="37"/>
      <c r="R186" s="70"/>
      <c r="S186" s="70"/>
      <c r="T186" s="70"/>
      <c r="U186" s="71"/>
      <c r="V186" s="73"/>
      <c r="W186" s="75"/>
      <c r="X186" s="117"/>
      <c r="Y186" s="111"/>
      <c r="Z186" s="111"/>
      <c r="AH186" s="18"/>
      <c r="AI186" s="18"/>
      <c r="AJ186" s="18"/>
      <c r="AK186" s="18"/>
      <c r="AL186" s="18"/>
      <c r="AM186" s="18"/>
      <c r="AN186" s="18"/>
    </row>
    <row r="187" spans="1:40">
      <c r="A187" s="51"/>
      <c r="B187" s="51"/>
      <c r="C187" s="51"/>
      <c r="D187" s="51"/>
      <c r="E187" s="51"/>
      <c r="F187" s="55"/>
      <c r="G187" s="56"/>
      <c r="H187" s="57"/>
      <c r="I187" s="51"/>
      <c r="J187" s="51"/>
      <c r="K187" s="58"/>
      <c r="L187" s="59"/>
      <c r="M187" s="58"/>
      <c r="N187" s="58"/>
      <c r="O187" s="51"/>
      <c r="P187" s="51"/>
      <c r="Q187" s="37"/>
      <c r="R187" s="70"/>
      <c r="S187" s="70"/>
      <c r="T187" s="70"/>
      <c r="U187" s="71"/>
      <c r="V187" s="73"/>
      <c r="W187" s="75"/>
      <c r="X187" s="117"/>
      <c r="Y187" s="111"/>
      <c r="Z187" s="111"/>
      <c r="AH187" s="18"/>
      <c r="AI187" s="18"/>
      <c r="AJ187" s="18"/>
      <c r="AK187" s="18"/>
      <c r="AL187" s="18"/>
      <c r="AM187" s="18"/>
      <c r="AN187" s="18"/>
    </row>
    <row r="188" spans="1:40" ht="20.25" customHeight="1">
      <c r="A188" s="51"/>
      <c r="B188" s="54"/>
      <c r="C188" s="51"/>
      <c r="D188" s="54"/>
      <c r="E188" s="51"/>
      <c r="F188" s="55"/>
      <c r="G188" s="80"/>
      <c r="H188" s="76"/>
      <c r="I188" s="51"/>
      <c r="J188" s="51"/>
      <c r="K188" s="58"/>
      <c r="L188" s="59"/>
      <c r="M188" s="58"/>
      <c r="N188" s="58"/>
      <c r="O188" s="51"/>
      <c r="P188" s="51"/>
      <c r="Q188" s="37"/>
      <c r="R188" s="70"/>
      <c r="S188" s="70"/>
      <c r="T188" s="70"/>
      <c r="U188" s="71"/>
      <c r="V188" s="73"/>
      <c r="W188" s="75"/>
      <c r="X188" s="121"/>
      <c r="Y188" s="110"/>
      <c r="Z188" s="110"/>
      <c r="AH188" s="18"/>
      <c r="AI188" s="18"/>
      <c r="AJ188" s="18"/>
      <c r="AK188" s="18"/>
      <c r="AL188" s="18"/>
      <c r="AM188" s="18"/>
      <c r="AN188" s="18"/>
    </row>
    <row r="189" spans="1:40">
      <c r="A189" s="51"/>
      <c r="B189" s="54"/>
      <c r="C189" s="51"/>
      <c r="D189" s="54"/>
      <c r="E189" s="51"/>
      <c r="F189" s="55"/>
      <c r="G189" s="56"/>
      <c r="H189" s="57"/>
      <c r="I189" s="51"/>
      <c r="J189" s="51"/>
      <c r="K189" s="58"/>
      <c r="L189" s="59"/>
      <c r="M189" s="58"/>
      <c r="N189" s="58"/>
      <c r="O189" s="51"/>
      <c r="P189" s="51"/>
      <c r="Q189" s="37"/>
      <c r="R189" s="74"/>
      <c r="S189" s="74"/>
      <c r="T189" s="74"/>
      <c r="U189" s="71"/>
      <c r="V189" s="73"/>
      <c r="W189" s="102"/>
      <c r="X189" s="117"/>
      <c r="Y189" s="111"/>
      <c r="Z189" s="111"/>
      <c r="AH189" s="18"/>
      <c r="AI189" s="18"/>
      <c r="AJ189" s="18"/>
      <c r="AK189" s="18"/>
      <c r="AL189" s="18"/>
      <c r="AM189" s="18"/>
      <c r="AN189" s="18"/>
    </row>
    <row r="190" spans="1:40">
      <c r="A190" s="54"/>
      <c r="B190" s="54"/>
      <c r="C190" s="51"/>
      <c r="D190" s="54"/>
      <c r="E190" s="51"/>
      <c r="F190" s="56"/>
      <c r="G190" s="54"/>
      <c r="H190" s="86"/>
      <c r="I190" s="51"/>
      <c r="J190" s="51"/>
      <c r="K190" s="58"/>
      <c r="L190" s="59"/>
      <c r="M190" s="58"/>
      <c r="N190" s="58"/>
      <c r="O190" s="77"/>
      <c r="P190" s="112"/>
      <c r="Q190" s="37"/>
      <c r="R190" s="74"/>
      <c r="S190" s="74"/>
      <c r="T190" s="74"/>
      <c r="U190" s="114"/>
      <c r="V190" s="115"/>
      <c r="W190" s="116"/>
      <c r="X190" s="117"/>
      <c r="Y190" s="111"/>
      <c r="Z190" s="111"/>
      <c r="AH190" s="18"/>
      <c r="AI190" s="18"/>
      <c r="AJ190" s="18"/>
      <c r="AK190" s="18"/>
      <c r="AL190" s="18"/>
      <c r="AM190" s="18"/>
      <c r="AN190" s="18"/>
    </row>
    <row r="191" spans="1:40">
      <c r="A191" s="54"/>
      <c r="B191" s="54"/>
      <c r="C191" s="51"/>
      <c r="D191" s="54"/>
      <c r="E191" s="51"/>
      <c r="F191" s="56"/>
      <c r="G191" s="54"/>
      <c r="H191" s="86"/>
      <c r="I191" s="51"/>
      <c r="J191" s="51"/>
      <c r="K191" s="58"/>
      <c r="L191" s="59"/>
      <c r="M191" s="58"/>
      <c r="N191" s="58"/>
      <c r="O191" s="77"/>
      <c r="P191" s="112"/>
      <c r="Q191" s="37"/>
      <c r="R191" s="74"/>
      <c r="S191" s="74"/>
      <c r="T191" s="74"/>
      <c r="U191" s="114"/>
      <c r="V191" s="115"/>
      <c r="W191" s="116"/>
      <c r="X191" s="117"/>
      <c r="Y191" s="111"/>
      <c r="Z191" s="111"/>
      <c r="AH191" s="18"/>
      <c r="AI191" s="18"/>
      <c r="AJ191" s="18"/>
      <c r="AK191" s="18"/>
      <c r="AL191" s="18"/>
      <c r="AM191" s="18"/>
      <c r="AN191" s="18"/>
    </row>
    <row r="192" spans="1:40">
      <c r="A192" s="54"/>
      <c r="B192" s="54"/>
      <c r="C192" s="51"/>
      <c r="D192" s="54"/>
      <c r="E192" s="51"/>
      <c r="F192" s="56"/>
      <c r="G192" s="54"/>
      <c r="H192" s="86"/>
      <c r="I192" s="51"/>
      <c r="J192" s="51"/>
      <c r="K192" s="58"/>
      <c r="L192" s="59"/>
      <c r="M192" s="58"/>
      <c r="N192" s="58"/>
      <c r="O192" s="77"/>
      <c r="P192" s="112"/>
      <c r="Q192" s="37"/>
      <c r="R192" s="74"/>
      <c r="S192" s="74"/>
      <c r="T192" s="74"/>
      <c r="U192" s="114"/>
      <c r="V192" s="115"/>
      <c r="W192" s="116"/>
      <c r="X192" s="117"/>
      <c r="Y192" s="111"/>
      <c r="Z192" s="111"/>
      <c r="AH192" s="18"/>
      <c r="AI192" s="18"/>
      <c r="AJ192" s="18"/>
      <c r="AK192" s="18"/>
      <c r="AL192" s="18"/>
      <c r="AM192" s="18"/>
      <c r="AN192" s="18"/>
    </row>
    <row r="193" spans="1:40">
      <c r="A193" s="54"/>
      <c r="B193" s="54"/>
      <c r="C193" s="51"/>
      <c r="D193" s="54"/>
      <c r="E193" s="51"/>
      <c r="F193" s="56"/>
      <c r="G193" s="54"/>
      <c r="H193" s="86"/>
      <c r="I193" s="51"/>
      <c r="J193" s="51"/>
      <c r="K193" s="58"/>
      <c r="L193" s="59"/>
      <c r="M193" s="58"/>
      <c r="N193" s="58"/>
      <c r="O193" s="77"/>
      <c r="P193" s="112"/>
      <c r="Q193" s="37"/>
      <c r="R193" s="74"/>
      <c r="S193" s="74"/>
      <c r="T193" s="74"/>
      <c r="U193" s="114"/>
      <c r="V193" s="115"/>
      <c r="W193" s="116"/>
      <c r="X193" s="117"/>
      <c r="Y193" s="111"/>
      <c r="Z193" s="111"/>
      <c r="AH193" s="18"/>
      <c r="AI193" s="18"/>
      <c r="AJ193" s="18"/>
      <c r="AK193" s="18"/>
      <c r="AL193" s="18"/>
      <c r="AM193" s="18"/>
      <c r="AN193" s="18"/>
    </row>
    <row r="194" spans="1:40">
      <c r="A194" s="54"/>
      <c r="B194" s="54"/>
      <c r="C194" s="51"/>
      <c r="D194" s="54"/>
      <c r="E194" s="51"/>
      <c r="F194" s="56"/>
      <c r="G194" s="54"/>
      <c r="H194" s="86"/>
      <c r="I194" s="51"/>
      <c r="J194" s="51"/>
      <c r="K194" s="58"/>
      <c r="L194" s="59"/>
      <c r="M194" s="58"/>
      <c r="N194" s="58"/>
      <c r="O194" s="77"/>
      <c r="P194" s="112"/>
      <c r="Q194" s="37"/>
      <c r="R194" s="74"/>
      <c r="S194" s="74"/>
      <c r="T194" s="74"/>
      <c r="U194" s="114"/>
      <c r="V194" s="115"/>
      <c r="W194" s="116"/>
      <c r="X194" s="117"/>
      <c r="Y194" s="111"/>
      <c r="Z194" s="111"/>
      <c r="AH194" s="18"/>
      <c r="AI194" s="18"/>
      <c r="AJ194" s="18"/>
      <c r="AK194" s="18"/>
      <c r="AL194" s="18"/>
      <c r="AM194" s="18"/>
      <c r="AN194" s="18"/>
    </row>
    <row r="195" spans="1:40">
      <c r="A195" s="54"/>
      <c r="B195" s="54"/>
      <c r="C195" s="51"/>
      <c r="D195" s="54"/>
      <c r="E195" s="51"/>
      <c r="F195" s="56"/>
      <c r="G195" s="54"/>
      <c r="H195" s="86"/>
      <c r="I195" s="51"/>
      <c r="J195" s="51"/>
      <c r="K195" s="58"/>
      <c r="L195" s="59"/>
      <c r="M195" s="58"/>
      <c r="N195" s="58"/>
      <c r="O195" s="77"/>
      <c r="P195" s="112"/>
      <c r="Q195" s="37"/>
      <c r="R195" s="74"/>
      <c r="S195" s="74"/>
      <c r="T195" s="74"/>
      <c r="U195" s="114"/>
      <c r="V195" s="115"/>
      <c r="W195" s="116"/>
      <c r="X195" s="117"/>
      <c r="Y195" s="111"/>
      <c r="Z195" s="111"/>
      <c r="AH195" s="18"/>
      <c r="AI195" s="18"/>
      <c r="AJ195" s="18"/>
      <c r="AK195" s="18"/>
      <c r="AL195" s="18"/>
      <c r="AM195" s="18"/>
      <c r="AN195" s="18"/>
    </row>
    <row r="196" spans="1:40">
      <c r="A196" s="54"/>
      <c r="B196" s="54"/>
      <c r="C196" s="51"/>
      <c r="D196" s="54"/>
      <c r="E196" s="51"/>
      <c r="F196" s="56"/>
      <c r="G196" s="54"/>
      <c r="H196" s="86"/>
      <c r="I196" s="51"/>
      <c r="J196" s="51"/>
      <c r="K196" s="58"/>
      <c r="L196" s="59"/>
      <c r="M196" s="58"/>
      <c r="N196" s="58"/>
      <c r="O196" s="77"/>
      <c r="P196" s="112"/>
      <c r="Q196" s="37"/>
      <c r="R196" s="74"/>
      <c r="S196" s="74"/>
      <c r="T196" s="74"/>
      <c r="U196" s="114"/>
      <c r="V196" s="115"/>
      <c r="W196" s="116"/>
      <c r="X196" s="117"/>
      <c r="Y196" s="111"/>
      <c r="Z196" s="111"/>
      <c r="AH196" s="18"/>
      <c r="AI196" s="18"/>
      <c r="AJ196" s="18"/>
      <c r="AK196" s="18"/>
      <c r="AL196" s="18"/>
      <c r="AM196" s="18"/>
      <c r="AN196" s="18"/>
    </row>
    <row r="197" spans="1:40">
      <c r="A197" s="54"/>
      <c r="B197" s="54"/>
      <c r="C197" s="51"/>
      <c r="D197" s="54"/>
      <c r="E197" s="51"/>
      <c r="F197" s="56"/>
      <c r="G197" s="54"/>
      <c r="H197" s="86"/>
      <c r="I197" s="51"/>
      <c r="J197" s="51"/>
      <c r="K197" s="58"/>
      <c r="L197" s="59"/>
      <c r="M197" s="58"/>
      <c r="N197" s="58"/>
      <c r="O197" s="77"/>
      <c r="P197" s="112"/>
      <c r="Q197" s="37"/>
      <c r="R197" s="74"/>
      <c r="S197" s="74"/>
      <c r="T197" s="74"/>
      <c r="U197" s="114"/>
      <c r="V197" s="115"/>
      <c r="W197" s="116"/>
      <c r="X197" s="117"/>
      <c r="Y197" s="111"/>
      <c r="Z197" s="111"/>
      <c r="AH197" s="18"/>
      <c r="AI197" s="18"/>
      <c r="AJ197" s="18"/>
      <c r="AK197" s="18"/>
      <c r="AL197" s="18"/>
      <c r="AM197" s="18"/>
      <c r="AN197" s="18"/>
    </row>
    <row r="198" spans="1:40">
      <c r="A198" s="54"/>
      <c r="B198" s="54"/>
      <c r="C198" s="51"/>
      <c r="D198" s="54"/>
      <c r="E198" s="51"/>
      <c r="F198" s="56"/>
      <c r="G198" s="54"/>
      <c r="H198" s="86"/>
      <c r="I198" s="51"/>
      <c r="J198" s="51"/>
      <c r="K198" s="58"/>
      <c r="L198" s="59"/>
      <c r="M198" s="58"/>
      <c r="N198" s="58"/>
      <c r="O198" s="77"/>
      <c r="P198" s="112"/>
      <c r="Q198" s="37"/>
      <c r="R198" s="74"/>
      <c r="S198" s="74"/>
      <c r="T198" s="74"/>
      <c r="U198" s="114"/>
      <c r="V198" s="115"/>
      <c r="W198" s="116"/>
      <c r="X198" s="117"/>
      <c r="Y198" s="111"/>
      <c r="Z198" s="111"/>
      <c r="AH198" s="18"/>
      <c r="AI198" s="18"/>
      <c r="AJ198" s="18"/>
      <c r="AK198" s="18"/>
      <c r="AL198" s="18"/>
      <c r="AM198" s="18"/>
      <c r="AN198" s="18"/>
    </row>
    <row r="199" spans="1:40">
      <c r="A199" s="54"/>
      <c r="B199" s="54"/>
      <c r="C199" s="51"/>
      <c r="D199" s="54"/>
      <c r="E199" s="51"/>
      <c r="F199" s="56"/>
      <c r="G199" s="54"/>
      <c r="H199" s="86"/>
      <c r="I199" s="51"/>
      <c r="J199" s="51"/>
      <c r="K199" s="58"/>
      <c r="L199" s="59"/>
      <c r="M199" s="58"/>
      <c r="N199" s="58"/>
      <c r="O199" s="77"/>
      <c r="P199" s="112"/>
      <c r="Q199" s="37"/>
      <c r="R199" s="74"/>
      <c r="S199" s="74"/>
      <c r="T199" s="74"/>
      <c r="U199" s="114"/>
      <c r="V199" s="115"/>
      <c r="W199" s="116"/>
      <c r="X199" s="117"/>
      <c r="Y199" s="111"/>
      <c r="Z199" s="111"/>
      <c r="AH199" s="18"/>
      <c r="AI199" s="18"/>
      <c r="AJ199" s="18"/>
      <c r="AK199" s="18"/>
      <c r="AL199" s="18"/>
      <c r="AM199" s="18"/>
      <c r="AN199" s="18"/>
    </row>
    <row r="200" spans="1:40">
      <c r="A200" s="54"/>
      <c r="B200" s="54"/>
      <c r="C200" s="51"/>
      <c r="D200" s="54"/>
      <c r="E200" s="51"/>
      <c r="F200" s="56"/>
      <c r="G200" s="54"/>
      <c r="H200" s="37"/>
      <c r="I200" s="51"/>
      <c r="J200" s="51"/>
      <c r="K200" s="58"/>
      <c r="L200" s="59"/>
      <c r="M200" s="58"/>
      <c r="N200" s="58"/>
      <c r="O200" s="77"/>
      <c r="P200" s="112"/>
      <c r="Q200" s="37"/>
      <c r="R200" s="74"/>
      <c r="S200" s="74"/>
      <c r="T200" s="74"/>
      <c r="U200" s="114"/>
      <c r="V200" s="115"/>
      <c r="W200" s="116"/>
      <c r="X200" s="117"/>
      <c r="Y200" s="111"/>
      <c r="Z200" s="111"/>
      <c r="AH200" s="18"/>
      <c r="AI200" s="18"/>
      <c r="AJ200" s="18"/>
      <c r="AK200" s="18"/>
      <c r="AL200" s="18"/>
      <c r="AM200" s="18"/>
      <c r="AN200" s="18"/>
    </row>
    <row r="201" spans="1:40">
      <c r="A201" s="54"/>
      <c r="B201" s="54"/>
      <c r="C201" s="51"/>
      <c r="D201" s="54"/>
      <c r="E201" s="51"/>
      <c r="F201" s="56"/>
      <c r="G201" s="54"/>
      <c r="H201" s="37"/>
      <c r="I201" s="51"/>
      <c r="J201" s="51"/>
      <c r="K201" s="58"/>
      <c r="L201" s="59"/>
      <c r="M201" s="58"/>
      <c r="N201" s="58"/>
      <c r="O201" s="77"/>
      <c r="P201" s="112"/>
      <c r="Q201" s="37"/>
      <c r="R201" s="74"/>
      <c r="S201" s="74"/>
      <c r="T201" s="74"/>
      <c r="U201" s="114"/>
      <c r="V201" s="115"/>
      <c r="W201" s="116"/>
      <c r="X201" s="117"/>
      <c r="Y201" s="111"/>
      <c r="Z201" s="111"/>
      <c r="AH201" s="18"/>
      <c r="AI201" s="18"/>
      <c r="AJ201" s="18"/>
      <c r="AK201" s="18"/>
      <c r="AL201" s="18"/>
      <c r="AM201" s="18"/>
      <c r="AN201" s="18"/>
    </row>
    <row r="202" spans="1:40">
      <c r="A202" s="54"/>
      <c r="B202" s="54"/>
      <c r="C202" s="51"/>
      <c r="D202" s="54"/>
      <c r="E202" s="51"/>
      <c r="F202" s="56"/>
      <c r="G202" s="54"/>
      <c r="H202" s="37"/>
      <c r="I202" s="51"/>
      <c r="J202" s="51"/>
      <c r="K202" s="58"/>
      <c r="L202" s="59"/>
      <c r="M202" s="58"/>
      <c r="N202" s="58"/>
      <c r="O202" s="77"/>
      <c r="P202" s="112"/>
      <c r="Q202" s="37"/>
      <c r="R202" s="74"/>
      <c r="S202" s="74"/>
      <c r="T202" s="74"/>
      <c r="U202" s="114"/>
      <c r="V202" s="115"/>
      <c r="W202" s="116"/>
      <c r="X202" s="117"/>
      <c r="Y202" s="111"/>
      <c r="Z202" s="111"/>
      <c r="AH202" s="18"/>
      <c r="AI202" s="18"/>
      <c r="AJ202" s="18"/>
      <c r="AK202" s="18"/>
      <c r="AL202" s="18"/>
      <c r="AM202" s="18"/>
      <c r="AN202" s="18"/>
    </row>
    <row r="203" spans="1:40">
      <c r="A203" s="54"/>
      <c r="B203" s="54"/>
      <c r="C203" s="51"/>
      <c r="D203" s="54"/>
      <c r="E203" s="51"/>
      <c r="F203" s="56"/>
      <c r="G203" s="54"/>
      <c r="H203" s="86"/>
      <c r="I203" s="51"/>
      <c r="J203" s="51"/>
      <c r="K203" s="58"/>
      <c r="L203" s="59"/>
      <c r="M203" s="58"/>
      <c r="N203" s="58"/>
      <c r="O203" s="77"/>
      <c r="P203" s="112"/>
      <c r="Q203" s="37"/>
      <c r="R203" s="74"/>
      <c r="S203" s="74"/>
      <c r="T203" s="74"/>
      <c r="U203" s="114"/>
      <c r="V203" s="115"/>
      <c r="W203" s="116"/>
      <c r="X203" s="117"/>
      <c r="Y203" s="111"/>
      <c r="Z203" s="111"/>
      <c r="AH203" s="18"/>
      <c r="AI203" s="18"/>
      <c r="AJ203" s="18"/>
      <c r="AK203" s="18"/>
      <c r="AL203" s="18"/>
      <c r="AM203" s="18"/>
      <c r="AN203" s="18"/>
    </row>
    <row r="204" spans="1:40">
      <c r="A204" s="54"/>
      <c r="B204" s="54"/>
      <c r="C204" s="51"/>
      <c r="D204" s="54"/>
      <c r="E204" s="51"/>
      <c r="F204" s="56"/>
      <c r="G204" s="54"/>
      <c r="H204" s="37"/>
      <c r="I204" s="51"/>
      <c r="J204" s="51"/>
      <c r="K204" s="58"/>
      <c r="L204" s="59"/>
      <c r="M204" s="58"/>
      <c r="N204" s="58"/>
      <c r="O204" s="77"/>
      <c r="P204" s="112"/>
      <c r="Q204" s="37"/>
      <c r="R204" s="74"/>
      <c r="S204" s="74"/>
      <c r="T204" s="74"/>
      <c r="U204" s="114"/>
      <c r="V204" s="115"/>
      <c r="W204" s="116"/>
      <c r="X204" s="117"/>
      <c r="Y204" s="111"/>
      <c r="Z204" s="111"/>
      <c r="AH204" s="18"/>
      <c r="AI204" s="18"/>
      <c r="AJ204" s="18"/>
      <c r="AK204" s="18"/>
      <c r="AL204" s="18"/>
      <c r="AM204" s="18"/>
      <c r="AN204" s="18"/>
    </row>
    <row r="205" spans="1:40">
      <c r="A205" s="54"/>
      <c r="B205" s="54"/>
      <c r="C205" s="51"/>
      <c r="D205" s="54"/>
      <c r="E205" s="51"/>
      <c r="F205" s="51"/>
      <c r="G205" s="54"/>
      <c r="H205" s="86"/>
      <c r="I205" s="51"/>
      <c r="J205" s="51"/>
      <c r="K205" s="58"/>
      <c r="L205" s="59"/>
      <c r="M205" s="58"/>
      <c r="N205" s="58"/>
      <c r="O205" s="77"/>
      <c r="P205" s="112"/>
      <c r="Q205" s="37"/>
      <c r="R205" s="74"/>
      <c r="S205" s="74"/>
      <c r="T205" s="74"/>
      <c r="U205" s="114"/>
      <c r="V205" s="115"/>
      <c r="W205" s="116"/>
      <c r="X205" s="117"/>
      <c r="Y205" s="111"/>
      <c r="Z205" s="111"/>
      <c r="AH205" s="18"/>
      <c r="AI205" s="18"/>
      <c r="AJ205" s="18"/>
      <c r="AK205" s="18"/>
      <c r="AL205" s="18"/>
      <c r="AM205" s="18"/>
      <c r="AN205" s="18"/>
    </row>
    <row r="206" spans="1:40">
      <c r="A206" s="54"/>
      <c r="B206" s="54"/>
      <c r="C206" s="51"/>
      <c r="D206" s="54"/>
      <c r="E206" s="111"/>
      <c r="F206" s="111"/>
      <c r="G206" s="110"/>
      <c r="H206" s="111"/>
      <c r="I206" s="111"/>
      <c r="J206" s="111"/>
      <c r="K206" s="58"/>
      <c r="L206" s="111"/>
      <c r="M206" s="58"/>
      <c r="N206" s="58"/>
      <c r="O206" s="77"/>
      <c r="P206" s="112"/>
      <c r="Q206" s="37"/>
      <c r="R206" s="74"/>
      <c r="S206" s="74"/>
      <c r="T206" s="74"/>
      <c r="U206" s="114"/>
      <c r="V206" s="115"/>
      <c r="W206" s="116"/>
      <c r="X206" s="117"/>
      <c r="Y206" s="111"/>
      <c r="Z206" s="111"/>
      <c r="AH206" s="18"/>
      <c r="AI206" s="18"/>
      <c r="AJ206" s="18"/>
      <c r="AK206" s="18"/>
      <c r="AL206" s="18"/>
      <c r="AM206" s="18"/>
      <c r="AN206" s="18"/>
    </row>
    <row r="207" spans="1:40">
      <c r="A207" s="54"/>
      <c r="B207" s="54"/>
      <c r="C207" s="51"/>
      <c r="D207" s="54"/>
      <c r="E207" s="111"/>
      <c r="F207" s="111"/>
      <c r="G207" s="110"/>
      <c r="H207" s="111"/>
      <c r="I207" s="111"/>
      <c r="J207" s="111"/>
      <c r="K207" s="58"/>
      <c r="L207" s="111"/>
      <c r="M207" s="58"/>
      <c r="N207" s="58"/>
      <c r="O207" s="77"/>
      <c r="P207" s="112"/>
      <c r="Q207" s="37"/>
      <c r="R207" s="74"/>
      <c r="S207" s="74"/>
      <c r="T207" s="74"/>
      <c r="U207" s="114"/>
      <c r="V207" s="115"/>
      <c r="W207" s="116"/>
      <c r="X207" s="117"/>
      <c r="Y207" s="111"/>
      <c r="Z207" s="111"/>
      <c r="AH207" s="18"/>
      <c r="AI207" s="18"/>
      <c r="AJ207" s="18"/>
      <c r="AK207" s="18"/>
      <c r="AL207" s="18"/>
      <c r="AM207" s="18"/>
      <c r="AN207" s="18"/>
    </row>
    <row r="208" spans="1:40">
      <c r="A208" s="54"/>
      <c r="B208" s="54"/>
      <c r="C208" s="51"/>
      <c r="D208" s="54"/>
      <c r="E208" s="111"/>
      <c r="F208" s="111"/>
      <c r="G208" s="110"/>
      <c r="H208" s="111"/>
      <c r="I208" s="111"/>
      <c r="J208" s="111"/>
      <c r="K208" s="58"/>
      <c r="L208" s="111"/>
      <c r="M208" s="58"/>
      <c r="N208" s="58"/>
      <c r="O208" s="77"/>
      <c r="P208" s="112"/>
      <c r="Q208" s="37"/>
      <c r="R208" s="74"/>
      <c r="S208" s="74"/>
      <c r="T208" s="74"/>
      <c r="U208" s="114"/>
      <c r="V208" s="115"/>
      <c r="W208" s="116"/>
      <c r="X208" s="117"/>
      <c r="Y208" s="111"/>
      <c r="Z208" s="111"/>
      <c r="AH208" s="18"/>
      <c r="AI208" s="18"/>
      <c r="AJ208" s="18"/>
      <c r="AK208" s="18"/>
      <c r="AL208" s="18"/>
      <c r="AM208" s="18"/>
      <c r="AN208" s="18"/>
    </row>
    <row r="209" spans="1:40">
      <c r="A209" s="51"/>
      <c r="B209" s="51"/>
      <c r="C209" s="51"/>
      <c r="D209" s="51"/>
      <c r="E209" s="51"/>
      <c r="F209" s="55"/>
      <c r="G209" s="56"/>
      <c r="H209" s="57"/>
      <c r="I209" s="51"/>
      <c r="J209" s="51"/>
      <c r="K209" s="58"/>
      <c r="L209" s="59"/>
      <c r="M209" s="58"/>
      <c r="N209" s="58"/>
      <c r="O209" s="51"/>
      <c r="P209" s="51"/>
      <c r="Q209" s="37"/>
      <c r="R209" s="70"/>
      <c r="S209" s="70"/>
      <c r="T209" s="70"/>
      <c r="U209" s="71"/>
      <c r="V209" s="73"/>
      <c r="W209" s="75"/>
      <c r="X209" s="117"/>
      <c r="Y209" s="111"/>
      <c r="Z209" s="111"/>
      <c r="AH209" s="18"/>
      <c r="AI209" s="18"/>
      <c r="AJ209" s="18"/>
      <c r="AK209" s="18"/>
      <c r="AL209" s="18"/>
      <c r="AM209" s="18"/>
      <c r="AN209" s="18"/>
    </row>
    <row r="210" spans="1:40">
      <c r="A210" s="51"/>
      <c r="B210" s="51"/>
      <c r="C210" s="51"/>
      <c r="D210" s="51"/>
      <c r="E210" s="51"/>
      <c r="F210" s="55"/>
      <c r="G210" s="56"/>
      <c r="H210" s="57"/>
      <c r="I210" s="51"/>
      <c r="J210" s="51"/>
      <c r="K210" s="58"/>
      <c r="L210" s="59"/>
      <c r="M210" s="58"/>
      <c r="N210" s="58"/>
      <c r="O210" s="51"/>
      <c r="P210" s="51"/>
      <c r="Q210" s="37"/>
      <c r="R210" s="70"/>
      <c r="S210" s="70"/>
      <c r="T210" s="70"/>
      <c r="U210" s="71"/>
      <c r="V210" s="73"/>
      <c r="W210" s="75"/>
      <c r="X210" s="117"/>
      <c r="Y210" s="111"/>
      <c r="Z210" s="111"/>
      <c r="AH210" s="18"/>
      <c r="AI210" s="18"/>
      <c r="AJ210" s="18"/>
      <c r="AK210" s="18"/>
      <c r="AL210" s="18"/>
      <c r="AM210" s="18"/>
      <c r="AN210" s="18"/>
    </row>
    <row r="211" spans="1:40">
      <c r="A211" s="51"/>
      <c r="B211" s="51"/>
      <c r="C211" s="51"/>
      <c r="D211" s="51"/>
      <c r="E211" s="51"/>
      <c r="F211" s="55"/>
      <c r="G211" s="56"/>
      <c r="H211" s="57"/>
      <c r="I211" s="51"/>
      <c r="J211" s="51"/>
      <c r="K211" s="58"/>
      <c r="L211" s="59"/>
      <c r="M211" s="58"/>
      <c r="N211" s="58"/>
      <c r="O211" s="51"/>
      <c r="P211" s="51"/>
      <c r="Q211" s="37"/>
      <c r="R211" s="70"/>
      <c r="S211" s="70"/>
      <c r="T211" s="70"/>
      <c r="U211" s="71"/>
      <c r="V211" s="73"/>
      <c r="W211" s="75"/>
      <c r="X211" s="117"/>
      <c r="Y211" s="111"/>
      <c r="Z211" s="111"/>
      <c r="AH211" s="18"/>
      <c r="AI211" s="18"/>
      <c r="AJ211" s="18"/>
      <c r="AK211" s="18"/>
      <c r="AL211" s="18"/>
      <c r="AM211" s="18"/>
      <c r="AN211" s="18"/>
    </row>
    <row r="212" spans="1:40">
      <c r="A212" s="51"/>
      <c r="B212" s="54"/>
      <c r="C212" s="51"/>
      <c r="D212" s="54"/>
      <c r="E212" s="51"/>
      <c r="F212" s="55"/>
      <c r="G212" s="56"/>
      <c r="H212" s="57"/>
      <c r="I212" s="51"/>
      <c r="J212" s="51"/>
      <c r="K212" s="58"/>
      <c r="L212" s="59"/>
      <c r="M212" s="58"/>
      <c r="N212" s="58"/>
      <c r="O212" s="51"/>
      <c r="P212" s="51"/>
      <c r="Q212" s="37"/>
      <c r="R212" s="70"/>
      <c r="S212" s="70"/>
      <c r="T212" s="70"/>
      <c r="U212" s="71"/>
      <c r="V212" s="73"/>
      <c r="W212" s="75"/>
      <c r="X212" s="117"/>
      <c r="Y212" s="111"/>
      <c r="Z212" s="111"/>
      <c r="AH212" s="18"/>
      <c r="AI212" s="18"/>
      <c r="AJ212" s="18"/>
      <c r="AK212" s="18"/>
      <c r="AL212" s="18"/>
      <c r="AM212" s="18"/>
      <c r="AN212" s="18"/>
    </row>
    <row r="213" spans="1:40">
      <c r="A213" s="110"/>
      <c r="B213" s="54"/>
      <c r="C213" s="51"/>
      <c r="D213" s="54"/>
      <c r="E213" s="111"/>
      <c r="F213" s="111"/>
      <c r="G213" s="110"/>
      <c r="H213" s="111"/>
      <c r="I213" s="111"/>
      <c r="J213" s="111"/>
      <c r="K213" s="58"/>
      <c r="L213" s="111"/>
      <c r="M213" s="58"/>
      <c r="N213" s="58"/>
      <c r="O213" s="77"/>
      <c r="P213" s="112"/>
      <c r="Q213" s="37"/>
      <c r="R213" s="113"/>
      <c r="S213" s="113"/>
      <c r="T213" s="113"/>
      <c r="U213" s="114"/>
      <c r="V213" s="115"/>
      <c r="W213" s="116"/>
      <c r="X213" s="117"/>
      <c r="Y213" s="111"/>
      <c r="Z213" s="111"/>
      <c r="AH213" s="18"/>
      <c r="AI213" s="18"/>
      <c r="AJ213" s="18"/>
      <c r="AK213" s="18"/>
      <c r="AL213" s="18"/>
      <c r="AM213" s="18"/>
      <c r="AN213" s="18"/>
    </row>
    <row r="214" spans="1:40">
      <c r="A214" s="110"/>
      <c r="B214" s="54"/>
      <c r="C214" s="51"/>
      <c r="D214" s="54"/>
      <c r="E214" s="111"/>
      <c r="F214" s="111"/>
      <c r="G214" s="110"/>
      <c r="H214" s="111"/>
      <c r="I214" s="111"/>
      <c r="J214" s="111"/>
      <c r="K214" s="58"/>
      <c r="L214" s="111"/>
      <c r="M214" s="58"/>
      <c r="N214" s="58"/>
      <c r="O214" s="77"/>
      <c r="P214" s="112"/>
      <c r="Q214" s="37"/>
      <c r="R214" s="113"/>
      <c r="S214" s="113"/>
      <c r="T214" s="113"/>
      <c r="U214" s="114"/>
      <c r="V214" s="115"/>
      <c r="W214" s="116"/>
      <c r="X214" s="117"/>
      <c r="Y214" s="111"/>
      <c r="Z214" s="111"/>
      <c r="AH214" s="18"/>
      <c r="AI214" s="18"/>
      <c r="AJ214" s="18"/>
      <c r="AK214" s="18"/>
      <c r="AL214" s="18"/>
      <c r="AM214" s="18"/>
      <c r="AN214" s="18"/>
    </row>
    <row r="215" spans="1:40">
      <c r="A215" s="110"/>
      <c r="B215" s="54"/>
      <c r="C215" s="51"/>
      <c r="D215" s="54"/>
      <c r="E215" s="111"/>
      <c r="F215" s="111"/>
      <c r="G215" s="110"/>
      <c r="H215" s="111"/>
      <c r="I215" s="111"/>
      <c r="J215" s="111"/>
      <c r="K215" s="58"/>
      <c r="L215" s="111"/>
      <c r="M215" s="58"/>
      <c r="N215" s="58"/>
      <c r="O215" s="77"/>
      <c r="P215" s="112"/>
      <c r="Q215" s="37"/>
      <c r="R215" s="113"/>
      <c r="S215" s="113"/>
      <c r="T215" s="113"/>
      <c r="U215" s="114"/>
      <c r="V215" s="115"/>
      <c r="W215" s="116"/>
      <c r="X215" s="117"/>
      <c r="Y215" s="111"/>
      <c r="Z215" s="111"/>
      <c r="AH215" s="18"/>
      <c r="AI215" s="18"/>
      <c r="AJ215" s="18"/>
      <c r="AK215" s="18"/>
      <c r="AL215" s="18"/>
      <c r="AM215" s="18"/>
      <c r="AN215" s="18"/>
    </row>
    <row r="216" spans="1:40">
      <c r="A216" s="110"/>
      <c r="B216" s="54"/>
      <c r="C216" s="51"/>
      <c r="D216" s="54"/>
      <c r="E216" s="111"/>
      <c r="F216" s="111"/>
      <c r="G216" s="110"/>
      <c r="H216" s="111"/>
      <c r="I216" s="111"/>
      <c r="J216" s="111"/>
      <c r="K216" s="58"/>
      <c r="L216" s="111"/>
      <c r="M216" s="58"/>
      <c r="N216" s="58"/>
      <c r="O216" s="77"/>
      <c r="P216" s="112"/>
      <c r="Q216" s="37"/>
      <c r="R216" s="113"/>
      <c r="S216" s="113"/>
      <c r="T216" s="113"/>
      <c r="U216" s="114"/>
      <c r="V216" s="115"/>
      <c r="W216" s="116"/>
      <c r="X216" s="117"/>
      <c r="Y216" s="111"/>
      <c r="Z216" s="111"/>
      <c r="AH216" s="18"/>
      <c r="AI216" s="18"/>
      <c r="AJ216" s="18"/>
      <c r="AK216" s="18"/>
      <c r="AL216" s="18"/>
      <c r="AM216" s="18"/>
      <c r="AN216" s="18"/>
    </row>
    <row r="217" spans="1:40">
      <c r="A217" s="118"/>
      <c r="B217" s="54"/>
      <c r="C217" s="51"/>
      <c r="D217" s="54"/>
      <c r="E217" s="111"/>
      <c r="F217" s="111"/>
      <c r="G217" s="110"/>
      <c r="H217" s="111"/>
      <c r="I217" s="111"/>
      <c r="J217" s="111"/>
      <c r="K217" s="58"/>
      <c r="L217" s="111"/>
      <c r="M217" s="58"/>
      <c r="N217" s="58"/>
      <c r="O217" s="77"/>
      <c r="P217" s="112"/>
      <c r="Q217" s="37"/>
      <c r="R217" s="113"/>
      <c r="S217" s="113"/>
      <c r="T217" s="113"/>
      <c r="U217" s="114"/>
      <c r="V217" s="115"/>
      <c r="W217" s="116"/>
      <c r="X217" s="117"/>
      <c r="Y217" s="111"/>
      <c r="Z217" s="111"/>
      <c r="AH217" s="18"/>
      <c r="AI217" s="18"/>
      <c r="AJ217" s="18"/>
      <c r="AK217" s="18"/>
      <c r="AL217" s="18"/>
      <c r="AM217" s="18"/>
      <c r="AN217" s="18"/>
    </row>
    <row r="218" spans="1:40">
      <c r="A218" s="118"/>
      <c r="B218" s="54"/>
      <c r="C218" s="51"/>
      <c r="D218" s="54"/>
      <c r="E218" s="111"/>
      <c r="F218" s="111"/>
      <c r="G218" s="110"/>
      <c r="H218" s="111"/>
      <c r="I218" s="111"/>
      <c r="J218" s="111"/>
      <c r="K218" s="58"/>
      <c r="L218" s="111"/>
      <c r="M218" s="58"/>
      <c r="N218" s="58"/>
      <c r="O218" s="77"/>
      <c r="P218" s="112"/>
      <c r="Q218" s="37"/>
      <c r="R218" s="113"/>
      <c r="S218" s="113"/>
      <c r="T218" s="113"/>
      <c r="U218" s="114"/>
      <c r="V218" s="115"/>
      <c r="W218" s="116"/>
      <c r="X218" s="117"/>
      <c r="Y218" s="111"/>
      <c r="Z218" s="111"/>
      <c r="AH218" s="18"/>
      <c r="AI218" s="18"/>
      <c r="AJ218" s="18"/>
      <c r="AK218" s="18"/>
      <c r="AL218" s="18"/>
      <c r="AM218" s="18"/>
      <c r="AN218" s="18"/>
    </row>
    <row r="219" spans="1:40">
      <c r="A219" s="118"/>
      <c r="B219" s="54"/>
      <c r="C219" s="51"/>
      <c r="D219" s="54"/>
      <c r="E219" s="111"/>
      <c r="F219" s="111"/>
      <c r="G219" s="110"/>
      <c r="H219" s="111"/>
      <c r="I219" s="111"/>
      <c r="J219" s="111"/>
      <c r="K219" s="58"/>
      <c r="L219" s="111"/>
      <c r="M219" s="58"/>
      <c r="N219" s="58"/>
      <c r="O219" s="77"/>
      <c r="P219" s="112"/>
      <c r="Q219" s="37"/>
      <c r="R219" s="113"/>
      <c r="S219" s="113"/>
      <c r="T219" s="113"/>
      <c r="U219" s="114"/>
      <c r="V219" s="115"/>
      <c r="W219" s="116"/>
      <c r="X219" s="117"/>
      <c r="Y219" s="111"/>
      <c r="Z219" s="111"/>
      <c r="AH219" s="18"/>
      <c r="AI219" s="18"/>
      <c r="AJ219" s="18"/>
      <c r="AK219" s="18"/>
      <c r="AL219" s="18"/>
      <c r="AM219" s="18"/>
      <c r="AN219" s="18"/>
    </row>
    <row r="220" spans="1:40">
      <c r="A220" s="118"/>
      <c r="B220" s="54"/>
      <c r="C220" s="51"/>
      <c r="D220" s="54"/>
      <c r="E220" s="111"/>
      <c r="F220" s="111"/>
      <c r="G220" s="110"/>
      <c r="H220" s="111"/>
      <c r="I220" s="111"/>
      <c r="J220" s="111"/>
      <c r="K220" s="58"/>
      <c r="L220" s="111"/>
      <c r="M220" s="58"/>
      <c r="N220" s="58"/>
      <c r="O220" s="77"/>
      <c r="P220" s="112"/>
      <c r="Q220" s="37"/>
      <c r="R220" s="113"/>
      <c r="S220" s="113"/>
      <c r="T220" s="113"/>
      <c r="U220" s="114"/>
      <c r="V220" s="115"/>
      <c r="W220" s="116"/>
      <c r="X220" s="117"/>
      <c r="Y220" s="111"/>
      <c r="Z220" s="111"/>
      <c r="AH220" s="18"/>
      <c r="AI220" s="18"/>
      <c r="AJ220" s="18"/>
      <c r="AK220" s="18"/>
      <c r="AL220" s="18"/>
      <c r="AM220" s="18"/>
      <c r="AN220" s="18"/>
    </row>
    <row r="221" spans="1:40">
      <c r="A221" s="118"/>
      <c r="B221" s="54"/>
      <c r="C221" s="51"/>
      <c r="D221" s="54"/>
      <c r="E221" s="111"/>
      <c r="F221" s="111"/>
      <c r="G221" s="110"/>
      <c r="H221" s="111"/>
      <c r="I221" s="111"/>
      <c r="J221" s="111"/>
      <c r="K221" s="58"/>
      <c r="L221" s="111"/>
      <c r="M221" s="58"/>
      <c r="N221" s="58"/>
      <c r="O221" s="77"/>
      <c r="P221" s="112"/>
      <c r="Q221" s="37"/>
      <c r="R221" s="113"/>
      <c r="S221" s="113"/>
      <c r="T221" s="113"/>
      <c r="U221" s="114"/>
      <c r="V221" s="115"/>
      <c r="W221" s="116"/>
      <c r="X221" s="117"/>
      <c r="Y221" s="111"/>
      <c r="Z221" s="111"/>
      <c r="AH221" s="18"/>
      <c r="AI221" s="18"/>
      <c r="AJ221" s="18"/>
      <c r="AK221" s="18"/>
      <c r="AL221" s="18"/>
      <c r="AM221" s="18"/>
      <c r="AN221" s="18"/>
    </row>
    <row r="222" spans="1:40">
      <c r="A222" s="118"/>
      <c r="B222" s="54"/>
      <c r="C222" s="51"/>
      <c r="D222" s="54"/>
      <c r="E222" s="111"/>
      <c r="F222" s="111"/>
      <c r="G222" s="110"/>
      <c r="H222" s="111"/>
      <c r="I222" s="111"/>
      <c r="J222" s="111"/>
      <c r="K222" s="58"/>
      <c r="L222" s="111"/>
      <c r="M222" s="58"/>
      <c r="N222" s="58"/>
      <c r="O222" s="77"/>
      <c r="P222" s="112"/>
      <c r="Q222" s="37"/>
      <c r="R222" s="113"/>
      <c r="S222" s="113"/>
      <c r="T222" s="113"/>
      <c r="U222" s="114"/>
      <c r="V222" s="115"/>
      <c r="W222" s="116"/>
      <c r="X222" s="117"/>
      <c r="Y222" s="111"/>
      <c r="Z222" s="111"/>
      <c r="AH222" s="18"/>
      <c r="AI222" s="18"/>
      <c r="AJ222" s="18"/>
      <c r="AK222" s="18"/>
      <c r="AL222" s="18"/>
      <c r="AM222" s="18"/>
      <c r="AN222" s="18"/>
    </row>
    <row r="223" spans="1:40">
      <c r="A223" s="118"/>
      <c r="B223" s="54"/>
      <c r="C223" s="51"/>
      <c r="D223" s="54"/>
      <c r="E223" s="111"/>
      <c r="F223" s="111"/>
      <c r="G223" s="110"/>
      <c r="H223" s="110"/>
      <c r="I223" s="111"/>
      <c r="J223" s="111"/>
      <c r="K223" s="58"/>
      <c r="L223" s="111"/>
      <c r="M223" s="58"/>
      <c r="N223" s="58"/>
      <c r="O223" s="77"/>
      <c r="P223" s="112"/>
      <c r="Q223" s="37"/>
      <c r="R223" s="113"/>
      <c r="S223" s="113"/>
      <c r="T223" s="113"/>
      <c r="U223" s="114"/>
      <c r="V223" s="115"/>
      <c r="W223" s="116"/>
      <c r="X223" s="117"/>
      <c r="Y223" s="111"/>
      <c r="Z223" s="111"/>
      <c r="AH223" s="18"/>
      <c r="AI223" s="18"/>
      <c r="AJ223" s="18"/>
      <c r="AK223" s="18"/>
      <c r="AL223" s="18"/>
      <c r="AM223" s="18"/>
      <c r="AN223" s="18"/>
    </row>
    <row r="224" spans="1:40">
      <c r="A224" s="118"/>
      <c r="B224" s="54"/>
      <c r="C224" s="51"/>
      <c r="D224" s="54"/>
      <c r="E224" s="111"/>
      <c r="F224" s="111"/>
      <c r="G224" s="110"/>
      <c r="H224" s="111"/>
      <c r="I224" s="111"/>
      <c r="J224" s="111"/>
      <c r="K224" s="58"/>
      <c r="L224" s="111"/>
      <c r="M224" s="58"/>
      <c r="N224" s="58"/>
      <c r="O224" s="77"/>
      <c r="P224" s="112"/>
      <c r="Q224" s="37"/>
      <c r="R224" s="113"/>
      <c r="S224" s="113"/>
      <c r="T224" s="113"/>
      <c r="U224" s="114"/>
      <c r="V224" s="115"/>
      <c r="W224" s="116"/>
      <c r="X224" s="117"/>
      <c r="Y224" s="111"/>
      <c r="Z224" s="111"/>
      <c r="AH224" s="18"/>
      <c r="AI224" s="18"/>
      <c r="AJ224" s="18"/>
      <c r="AK224" s="18"/>
      <c r="AL224" s="18"/>
      <c r="AM224" s="18"/>
      <c r="AN224" s="18"/>
    </row>
    <row r="225" spans="1:40">
      <c r="A225" s="118"/>
      <c r="B225" s="54"/>
      <c r="C225" s="51"/>
      <c r="D225" s="54"/>
      <c r="E225" s="111"/>
      <c r="F225" s="111"/>
      <c r="G225" s="110"/>
      <c r="H225" s="111"/>
      <c r="I225" s="111"/>
      <c r="J225" s="111"/>
      <c r="K225" s="58"/>
      <c r="L225" s="111"/>
      <c r="M225" s="58"/>
      <c r="N225" s="58"/>
      <c r="O225" s="77"/>
      <c r="P225" s="112"/>
      <c r="Q225" s="37"/>
      <c r="R225" s="113"/>
      <c r="S225" s="113"/>
      <c r="T225" s="113"/>
      <c r="U225" s="114"/>
      <c r="V225" s="115"/>
      <c r="W225" s="116"/>
      <c r="X225" s="117"/>
      <c r="Y225" s="111"/>
      <c r="Z225" s="111"/>
      <c r="AH225" s="18"/>
      <c r="AI225" s="18"/>
      <c r="AJ225" s="18"/>
      <c r="AK225" s="18"/>
      <c r="AL225" s="18"/>
      <c r="AM225" s="18"/>
      <c r="AN225" s="18"/>
    </row>
    <row r="226" spans="1:40">
      <c r="A226" s="118"/>
      <c r="B226" s="54"/>
      <c r="C226" s="51"/>
      <c r="D226" s="54"/>
      <c r="E226" s="111"/>
      <c r="F226" s="111"/>
      <c r="G226" s="110"/>
      <c r="H226" s="111"/>
      <c r="I226" s="111"/>
      <c r="J226" s="111"/>
      <c r="K226" s="58"/>
      <c r="L226" s="111"/>
      <c r="M226" s="58"/>
      <c r="N226" s="58"/>
      <c r="O226" s="77"/>
      <c r="P226" s="112"/>
      <c r="Q226" s="37"/>
      <c r="R226" s="113"/>
      <c r="S226" s="113"/>
      <c r="T226" s="113"/>
      <c r="U226" s="114"/>
      <c r="V226" s="115"/>
      <c r="W226" s="116"/>
      <c r="X226" s="117"/>
      <c r="Y226" s="111"/>
      <c r="Z226" s="111"/>
      <c r="AH226" s="18"/>
      <c r="AI226" s="18"/>
      <c r="AJ226" s="18"/>
      <c r="AK226" s="18"/>
      <c r="AL226" s="18"/>
      <c r="AM226" s="18"/>
      <c r="AN226" s="18"/>
    </row>
    <row r="227" spans="1:40">
      <c r="A227" s="51"/>
      <c r="B227" s="51"/>
      <c r="C227" s="51"/>
      <c r="D227" s="51"/>
      <c r="E227" s="51"/>
      <c r="F227" s="55"/>
      <c r="G227" s="56"/>
      <c r="H227" s="57"/>
      <c r="I227" s="51"/>
      <c r="J227" s="51"/>
      <c r="K227" s="58"/>
      <c r="L227" s="59"/>
      <c r="M227" s="58"/>
      <c r="N227" s="58"/>
      <c r="O227" s="51"/>
      <c r="P227" s="51"/>
      <c r="Q227" s="37"/>
      <c r="R227" s="70"/>
      <c r="S227" s="70"/>
      <c r="T227" s="70"/>
      <c r="U227" s="71"/>
      <c r="V227" s="73"/>
      <c r="W227" s="75"/>
      <c r="X227" s="117"/>
      <c r="Y227" s="111"/>
      <c r="Z227" s="111"/>
      <c r="AH227" s="18"/>
      <c r="AI227" s="18"/>
      <c r="AJ227" s="18"/>
      <c r="AK227" s="18"/>
      <c r="AL227" s="18"/>
      <c r="AM227" s="18"/>
      <c r="AN227" s="18"/>
    </row>
    <row r="228" spans="1:40">
      <c r="A228" s="51"/>
      <c r="B228" s="51"/>
      <c r="C228" s="51"/>
      <c r="D228" s="51"/>
      <c r="E228" s="51"/>
      <c r="F228" s="55"/>
      <c r="G228" s="56"/>
      <c r="H228" s="57"/>
      <c r="I228" s="51"/>
      <c r="J228" s="51"/>
      <c r="K228" s="58"/>
      <c r="L228" s="59"/>
      <c r="M228" s="58"/>
      <c r="N228" s="58"/>
      <c r="O228" s="51"/>
      <c r="P228" s="51"/>
      <c r="Q228" s="37"/>
      <c r="R228" s="70"/>
      <c r="S228" s="70"/>
      <c r="T228" s="70"/>
      <c r="U228" s="71"/>
      <c r="V228" s="73"/>
      <c r="W228" s="75"/>
      <c r="X228" s="117"/>
      <c r="Y228" s="111"/>
      <c r="Z228" s="111"/>
      <c r="AH228" s="18"/>
      <c r="AI228" s="18"/>
      <c r="AJ228" s="18"/>
      <c r="AK228" s="18"/>
      <c r="AL228" s="18"/>
      <c r="AM228" s="18"/>
      <c r="AN228" s="18"/>
    </row>
    <row r="229" spans="1:40">
      <c r="A229" s="51"/>
      <c r="B229" s="51"/>
      <c r="C229" s="51"/>
      <c r="D229" s="51"/>
      <c r="E229" s="51"/>
      <c r="F229" s="55"/>
      <c r="G229" s="56"/>
      <c r="H229" s="57"/>
      <c r="I229" s="51"/>
      <c r="J229" s="51"/>
      <c r="K229" s="58"/>
      <c r="L229" s="59"/>
      <c r="M229" s="58"/>
      <c r="N229" s="58"/>
      <c r="O229" s="51"/>
      <c r="P229" s="51"/>
      <c r="Q229" s="37"/>
      <c r="R229" s="70"/>
      <c r="S229" s="70"/>
      <c r="T229" s="70"/>
      <c r="U229" s="71"/>
      <c r="V229" s="73"/>
      <c r="W229" s="75"/>
      <c r="X229" s="117"/>
      <c r="Y229" s="111"/>
      <c r="Z229" s="111"/>
      <c r="AH229" s="18"/>
      <c r="AI229" s="18"/>
      <c r="AJ229" s="18"/>
      <c r="AK229" s="18"/>
      <c r="AL229" s="18"/>
      <c r="AM229" s="18"/>
      <c r="AN229" s="18"/>
    </row>
    <row r="230" spans="1:40">
      <c r="A230" s="51"/>
      <c r="B230" s="51"/>
      <c r="C230" s="51"/>
      <c r="D230" s="51"/>
      <c r="E230" s="51"/>
      <c r="F230" s="55"/>
      <c r="G230" s="56"/>
      <c r="H230" s="57"/>
      <c r="I230" s="51"/>
      <c r="J230" s="51"/>
      <c r="K230" s="58"/>
      <c r="L230" s="59"/>
      <c r="M230" s="58"/>
      <c r="N230" s="58"/>
      <c r="O230" s="51"/>
      <c r="P230" s="51"/>
      <c r="Q230" s="37"/>
      <c r="R230" s="70"/>
      <c r="S230" s="70"/>
      <c r="T230" s="70"/>
      <c r="U230" s="71"/>
      <c r="V230" s="73"/>
      <c r="W230" s="75"/>
      <c r="X230" s="117"/>
      <c r="Y230" s="111"/>
      <c r="Z230" s="111"/>
      <c r="AH230" s="18"/>
      <c r="AI230" s="18"/>
      <c r="AJ230" s="18"/>
      <c r="AK230" s="18"/>
      <c r="AL230" s="18"/>
      <c r="AM230" s="18"/>
      <c r="AN230" s="18"/>
    </row>
    <row r="231" spans="1:40">
      <c r="A231" s="51"/>
      <c r="B231" s="51"/>
      <c r="C231" s="51"/>
      <c r="D231" s="51"/>
      <c r="E231" s="51"/>
      <c r="F231" s="55"/>
      <c r="G231" s="56"/>
      <c r="H231" s="57"/>
      <c r="I231" s="51"/>
      <c r="J231" s="51"/>
      <c r="K231" s="58"/>
      <c r="L231" s="59"/>
      <c r="M231" s="58"/>
      <c r="N231" s="58"/>
      <c r="O231" s="51"/>
      <c r="P231" s="51"/>
      <c r="Q231" s="37"/>
      <c r="R231" s="70"/>
      <c r="S231" s="70"/>
      <c r="T231" s="70"/>
      <c r="U231" s="71"/>
      <c r="V231" s="73"/>
      <c r="W231" s="75"/>
      <c r="X231" s="117"/>
      <c r="Y231" s="111"/>
      <c r="Z231" s="111"/>
      <c r="AH231" s="18"/>
      <c r="AI231" s="18"/>
      <c r="AJ231" s="18"/>
      <c r="AK231" s="18"/>
      <c r="AL231" s="18"/>
      <c r="AM231" s="18"/>
      <c r="AN231" s="18"/>
    </row>
    <row r="232" spans="1:40">
      <c r="A232" s="51"/>
      <c r="B232" s="51"/>
      <c r="C232" s="51"/>
      <c r="D232" s="51"/>
      <c r="E232" s="51"/>
      <c r="F232" s="55"/>
      <c r="G232" s="56"/>
      <c r="H232" s="57"/>
      <c r="I232" s="51"/>
      <c r="J232" s="51"/>
      <c r="K232" s="58"/>
      <c r="L232" s="59"/>
      <c r="M232" s="58"/>
      <c r="N232" s="58"/>
      <c r="O232" s="51"/>
      <c r="P232" s="51"/>
      <c r="Q232" s="37"/>
      <c r="R232" s="70"/>
      <c r="S232" s="70"/>
      <c r="T232" s="70"/>
      <c r="U232" s="71"/>
      <c r="V232" s="73"/>
      <c r="W232" s="75"/>
      <c r="X232" s="117"/>
      <c r="Y232" s="111"/>
      <c r="Z232" s="111"/>
      <c r="AH232" s="18"/>
      <c r="AI232" s="18"/>
      <c r="AJ232" s="18"/>
      <c r="AK232" s="18"/>
      <c r="AL232" s="18"/>
      <c r="AM232" s="18"/>
      <c r="AN232" s="18"/>
    </row>
    <row r="233" spans="1:40">
      <c r="A233" s="51"/>
      <c r="B233" s="51"/>
      <c r="C233" s="51"/>
      <c r="D233" s="51"/>
      <c r="E233" s="51"/>
      <c r="F233" s="55"/>
      <c r="G233" s="56"/>
      <c r="H233" s="57"/>
      <c r="I233" s="51"/>
      <c r="J233" s="51"/>
      <c r="K233" s="58"/>
      <c r="L233" s="59"/>
      <c r="M233" s="58"/>
      <c r="N233" s="58"/>
      <c r="O233" s="51"/>
      <c r="P233" s="51"/>
      <c r="Q233" s="37"/>
      <c r="R233" s="70"/>
      <c r="S233" s="70"/>
      <c r="T233" s="70"/>
      <c r="U233" s="71"/>
      <c r="V233" s="73"/>
      <c r="W233" s="75"/>
      <c r="X233" s="117"/>
      <c r="Y233" s="111"/>
      <c r="Z233" s="111"/>
      <c r="AH233" s="18"/>
      <c r="AI233" s="18"/>
      <c r="AJ233" s="18"/>
      <c r="AK233" s="18"/>
      <c r="AL233" s="18"/>
      <c r="AM233" s="18"/>
      <c r="AN233" s="18"/>
    </row>
    <row r="234" spans="1:40">
      <c r="A234" s="51"/>
      <c r="B234" s="51"/>
      <c r="C234" s="51"/>
      <c r="D234" s="51"/>
      <c r="E234" s="51"/>
      <c r="F234" s="55"/>
      <c r="G234" s="56"/>
      <c r="H234" s="57"/>
      <c r="I234" s="51"/>
      <c r="J234" s="51"/>
      <c r="K234" s="58"/>
      <c r="L234" s="59"/>
      <c r="M234" s="58"/>
      <c r="N234" s="58"/>
      <c r="O234" s="51"/>
      <c r="P234" s="51"/>
      <c r="Q234" s="37"/>
      <c r="R234" s="70"/>
      <c r="S234" s="70"/>
      <c r="T234" s="70"/>
      <c r="U234" s="71"/>
      <c r="V234" s="73"/>
      <c r="W234" s="75"/>
      <c r="X234" s="117"/>
      <c r="Y234" s="111"/>
      <c r="Z234" s="111"/>
      <c r="AH234" s="18"/>
      <c r="AI234" s="18"/>
      <c r="AJ234" s="18"/>
      <c r="AK234" s="18"/>
      <c r="AL234" s="18"/>
      <c r="AM234" s="18"/>
      <c r="AN234" s="18"/>
    </row>
    <row r="235" spans="1:40">
      <c r="A235" s="51"/>
      <c r="B235" s="51"/>
      <c r="C235" s="51"/>
      <c r="D235" s="51"/>
      <c r="E235" s="51"/>
      <c r="F235" s="55"/>
      <c r="G235" s="56"/>
      <c r="H235" s="57"/>
      <c r="I235" s="51"/>
      <c r="J235" s="51"/>
      <c r="K235" s="58"/>
      <c r="L235" s="59"/>
      <c r="M235" s="58"/>
      <c r="N235" s="58"/>
      <c r="O235" s="51"/>
      <c r="P235" s="51"/>
      <c r="Q235" s="37"/>
      <c r="R235" s="70"/>
      <c r="S235" s="70"/>
      <c r="T235" s="70"/>
      <c r="U235" s="71"/>
      <c r="V235" s="73"/>
      <c r="W235" s="75"/>
      <c r="X235" s="117"/>
      <c r="Y235" s="111"/>
      <c r="Z235" s="111"/>
      <c r="AH235" s="18"/>
      <c r="AI235" s="18"/>
      <c r="AJ235" s="18"/>
      <c r="AK235" s="18"/>
      <c r="AL235" s="18"/>
      <c r="AM235" s="18"/>
      <c r="AN235" s="18"/>
    </row>
    <row r="236" spans="1:40">
      <c r="A236" s="51"/>
      <c r="B236" s="51"/>
      <c r="C236" s="51"/>
      <c r="D236" s="51"/>
      <c r="E236" s="51"/>
      <c r="F236" s="55"/>
      <c r="G236" s="56"/>
      <c r="H236" s="57"/>
      <c r="I236" s="51"/>
      <c r="J236" s="51"/>
      <c r="K236" s="58"/>
      <c r="L236" s="59"/>
      <c r="M236" s="58"/>
      <c r="N236" s="58"/>
      <c r="O236" s="51"/>
      <c r="P236" s="51"/>
      <c r="Q236" s="37"/>
      <c r="R236" s="70"/>
      <c r="S236" s="70"/>
      <c r="T236" s="70"/>
      <c r="U236" s="71"/>
      <c r="V236" s="73"/>
      <c r="W236" s="75"/>
      <c r="X236" s="117"/>
      <c r="Y236" s="111"/>
      <c r="Z236" s="111"/>
      <c r="AH236" s="18"/>
      <c r="AI236" s="18"/>
      <c r="AJ236" s="18"/>
      <c r="AK236" s="18"/>
      <c r="AL236" s="18"/>
      <c r="AM236" s="18"/>
      <c r="AN236" s="18"/>
    </row>
    <row r="237" spans="1:40">
      <c r="A237" s="51"/>
      <c r="B237" s="51"/>
      <c r="C237" s="51"/>
      <c r="D237" s="51"/>
      <c r="E237" s="51"/>
      <c r="F237" s="55"/>
      <c r="G237" s="56"/>
      <c r="H237" s="57"/>
      <c r="I237" s="51"/>
      <c r="J237" s="51"/>
      <c r="K237" s="58"/>
      <c r="L237" s="59"/>
      <c r="M237" s="58"/>
      <c r="N237" s="58"/>
      <c r="O237" s="51"/>
      <c r="P237" s="51"/>
      <c r="Q237" s="37"/>
      <c r="R237" s="70"/>
      <c r="S237" s="70"/>
      <c r="T237" s="70"/>
      <c r="U237" s="71"/>
      <c r="V237" s="73"/>
      <c r="W237" s="75"/>
      <c r="X237" s="117"/>
      <c r="Y237" s="111"/>
      <c r="Z237" s="111"/>
      <c r="AH237" s="18"/>
      <c r="AI237" s="18"/>
      <c r="AJ237" s="18"/>
      <c r="AK237" s="18"/>
      <c r="AL237" s="18"/>
      <c r="AM237" s="18"/>
      <c r="AN237" s="18"/>
    </row>
    <row r="238" spans="1:40">
      <c r="A238" s="51"/>
      <c r="B238" s="51"/>
      <c r="C238" s="51"/>
      <c r="D238" s="51"/>
      <c r="E238" s="51"/>
      <c r="F238" s="55"/>
      <c r="G238" s="56"/>
      <c r="H238" s="57"/>
      <c r="I238" s="51"/>
      <c r="J238" s="51"/>
      <c r="K238" s="58"/>
      <c r="L238" s="59"/>
      <c r="M238" s="58"/>
      <c r="N238" s="58"/>
      <c r="O238" s="51"/>
      <c r="P238" s="51"/>
      <c r="Q238" s="37"/>
      <c r="R238" s="70"/>
      <c r="S238" s="70"/>
      <c r="T238" s="70"/>
      <c r="U238" s="71"/>
      <c r="V238" s="73"/>
      <c r="W238" s="75"/>
      <c r="X238" s="117"/>
      <c r="Y238" s="111"/>
      <c r="Z238" s="111"/>
      <c r="AH238" s="18"/>
      <c r="AI238" s="18"/>
      <c r="AJ238" s="18"/>
      <c r="AK238" s="18"/>
      <c r="AL238" s="18"/>
      <c r="AM238" s="18"/>
      <c r="AN238" s="18"/>
    </row>
    <row r="239" spans="1:40">
      <c r="A239" s="51"/>
      <c r="B239" s="51"/>
      <c r="C239" s="51"/>
      <c r="D239" s="51"/>
      <c r="E239" s="51"/>
      <c r="F239" s="55"/>
      <c r="G239" s="56"/>
      <c r="H239" s="57"/>
      <c r="I239" s="51"/>
      <c r="J239" s="51"/>
      <c r="K239" s="58"/>
      <c r="L239" s="59"/>
      <c r="M239" s="58"/>
      <c r="N239" s="58"/>
      <c r="O239" s="51"/>
      <c r="P239" s="51"/>
      <c r="Q239" s="37"/>
      <c r="R239" s="70"/>
      <c r="S239" s="70"/>
      <c r="T239" s="70"/>
      <c r="U239" s="71"/>
      <c r="V239" s="73"/>
      <c r="W239" s="75"/>
      <c r="X239" s="117"/>
      <c r="Y239" s="111"/>
      <c r="Z239" s="111"/>
      <c r="AH239" s="18"/>
      <c r="AI239" s="18"/>
      <c r="AJ239" s="18"/>
      <c r="AK239" s="18"/>
      <c r="AL239" s="18"/>
      <c r="AM239" s="18"/>
      <c r="AN239" s="18"/>
    </row>
    <row r="240" spans="1:40">
      <c r="A240" s="51"/>
      <c r="B240" s="51"/>
      <c r="C240" s="51"/>
      <c r="D240" s="51"/>
      <c r="E240" s="51"/>
      <c r="F240" s="55"/>
      <c r="G240" s="56"/>
      <c r="H240" s="57"/>
      <c r="I240" s="51"/>
      <c r="J240" s="51"/>
      <c r="K240" s="58"/>
      <c r="L240" s="59"/>
      <c r="M240" s="58"/>
      <c r="N240" s="58"/>
      <c r="O240" s="51"/>
      <c r="P240" s="51"/>
      <c r="Q240" s="37"/>
      <c r="R240" s="70"/>
      <c r="S240" s="70"/>
      <c r="T240" s="70"/>
      <c r="U240" s="71"/>
      <c r="V240" s="73"/>
      <c r="W240" s="75"/>
      <c r="X240" s="117"/>
      <c r="Y240" s="111"/>
      <c r="Z240" s="111"/>
      <c r="AH240" s="18"/>
      <c r="AI240" s="18"/>
      <c r="AJ240" s="18"/>
      <c r="AK240" s="18"/>
      <c r="AL240" s="18"/>
      <c r="AM240" s="18"/>
      <c r="AN240" s="18"/>
    </row>
    <row r="241" spans="1:40">
      <c r="A241" s="51"/>
      <c r="B241" s="51"/>
      <c r="C241" s="51"/>
      <c r="D241" s="51"/>
      <c r="E241" s="51"/>
      <c r="F241" s="55"/>
      <c r="G241" s="56"/>
      <c r="H241" s="57"/>
      <c r="I241" s="51"/>
      <c r="J241" s="51"/>
      <c r="K241" s="58"/>
      <c r="L241" s="59"/>
      <c r="M241" s="58"/>
      <c r="N241" s="58"/>
      <c r="O241" s="51"/>
      <c r="P241" s="51"/>
      <c r="Q241" s="37"/>
      <c r="R241" s="70"/>
      <c r="S241" s="70"/>
      <c r="T241" s="70"/>
      <c r="U241" s="71"/>
      <c r="V241" s="73"/>
      <c r="W241" s="75"/>
      <c r="X241" s="117"/>
      <c r="Y241" s="111"/>
      <c r="Z241" s="111"/>
      <c r="AH241" s="18"/>
      <c r="AI241" s="18"/>
      <c r="AJ241" s="18"/>
      <c r="AK241" s="18"/>
      <c r="AL241" s="18"/>
      <c r="AM241" s="18"/>
      <c r="AN241" s="18"/>
    </row>
    <row r="242" spans="1:40">
      <c r="A242" s="51"/>
      <c r="B242" s="51"/>
      <c r="C242" s="51"/>
      <c r="D242" s="51"/>
      <c r="E242" s="51"/>
      <c r="F242" s="55"/>
      <c r="G242" s="56"/>
      <c r="H242" s="57"/>
      <c r="I242" s="51"/>
      <c r="J242" s="51"/>
      <c r="K242" s="58"/>
      <c r="L242" s="59"/>
      <c r="M242" s="58"/>
      <c r="N242" s="58"/>
      <c r="O242" s="51"/>
      <c r="P242" s="51"/>
      <c r="Q242" s="37"/>
      <c r="R242" s="70"/>
      <c r="S242" s="70"/>
      <c r="T242" s="70"/>
      <c r="U242" s="71"/>
      <c r="V242" s="73"/>
      <c r="W242" s="75"/>
      <c r="X242" s="117"/>
      <c r="Y242" s="111"/>
      <c r="Z242" s="111"/>
      <c r="AH242" s="18"/>
      <c r="AI242" s="18"/>
      <c r="AJ242" s="18"/>
      <c r="AK242" s="18"/>
      <c r="AL242" s="18"/>
      <c r="AM242" s="18"/>
      <c r="AN242" s="18"/>
    </row>
    <row r="243" spans="1:40">
      <c r="A243" s="51"/>
      <c r="B243" s="51"/>
      <c r="C243" s="51"/>
      <c r="D243" s="51"/>
      <c r="E243" s="51"/>
      <c r="F243" s="55"/>
      <c r="G243" s="56"/>
      <c r="H243" s="57"/>
      <c r="I243" s="51"/>
      <c r="J243" s="51"/>
      <c r="K243" s="58"/>
      <c r="L243" s="59"/>
      <c r="M243" s="58"/>
      <c r="N243" s="58"/>
      <c r="O243" s="51"/>
      <c r="P243" s="51"/>
      <c r="Q243" s="37"/>
      <c r="R243" s="70"/>
      <c r="S243" s="70"/>
      <c r="T243" s="70"/>
      <c r="U243" s="71"/>
      <c r="V243" s="73"/>
      <c r="W243" s="75"/>
      <c r="X243" s="117"/>
      <c r="Y243" s="111"/>
      <c r="Z243" s="111"/>
      <c r="AH243" s="18"/>
      <c r="AI243" s="18"/>
      <c r="AJ243" s="18"/>
      <c r="AK243" s="18"/>
      <c r="AL243" s="18"/>
      <c r="AM243" s="18"/>
      <c r="AN243" s="18"/>
    </row>
    <row r="244" spans="1:40">
      <c r="A244" s="51"/>
      <c r="B244" s="51"/>
      <c r="C244" s="51"/>
      <c r="D244" s="51"/>
      <c r="E244" s="51"/>
      <c r="F244" s="55"/>
      <c r="G244" s="56"/>
      <c r="H244" s="57"/>
      <c r="I244" s="51"/>
      <c r="J244" s="51"/>
      <c r="K244" s="58"/>
      <c r="L244" s="59"/>
      <c r="M244" s="58"/>
      <c r="N244" s="58"/>
      <c r="O244" s="51"/>
      <c r="P244" s="51"/>
      <c r="Q244" s="37"/>
      <c r="R244" s="70"/>
      <c r="S244" s="70"/>
      <c r="T244" s="70"/>
      <c r="U244" s="71"/>
      <c r="V244" s="73"/>
      <c r="W244" s="75"/>
      <c r="X244" s="117"/>
      <c r="Y244" s="111"/>
      <c r="Z244" s="111"/>
      <c r="AH244" s="18"/>
      <c r="AI244" s="18"/>
      <c r="AJ244" s="18"/>
      <c r="AK244" s="18"/>
      <c r="AL244" s="18"/>
      <c r="AM244" s="18"/>
      <c r="AN244" s="18"/>
    </row>
    <row r="245" spans="1:40">
      <c r="A245" s="51"/>
      <c r="B245" s="51"/>
      <c r="C245" s="51"/>
      <c r="D245" s="51"/>
      <c r="E245" s="51"/>
      <c r="F245" s="55"/>
      <c r="G245" s="56"/>
      <c r="H245" s="57"/>
      <c r="I245" s="51"/>
      <c r="J245" s="51"/>
      <c r="K245" s="58"/>
      <c r="L245" s="59"/>
      <c r="M245" s="58"/>
      <c r="N245" s="58"/>
      <c r="O245" s="51"/>
      <c r="P245" s="51"/>
      <c r="Q245" s="37"/>
      <c r="R245" s="70"/>
      <c r="S245" s="70"/>
      <c r="T245" s="70"/>
      <c r="U245" s="71"/>
      <c r="V245" s="73"/>
      <c r="W245" s="75"/>
      <c r="X245" s="117"/>
      <c r="Y245" s="111"/>
      <c r="Z245" s="111"/>
      <c r="AH245" s="18"/>
      <c r="AI245" s="18"/>
      <c r="AJ245" s="18"/>
      <c r="AK245" s="18"/>
      <c r="AL245" s="18"/>
      <c r="AM245" s="18"/>
      <c r="AN245" s="18"/>
    </row>
    <row r="246" spans="1:40">
      <c r="A246" s="51"/>
      <c r="B246" s="51"/>
      <c r="C246" s="51"/>
      <c r="D246" s="51"/>
      <c r="E246" s="51"/>
      <c r="F246" s="55"/>
      <c r="G246" s="56"/>
      <c r="H246" s="57"/>
      <c r="I246" s="51"/>
      <c r="J246" s="51"/>
      <c r="K246" s="58"/>
      <c r="L246" s="59"/>
      <c r="M246" s="58"/>
      <c r="N246" s="58"/>
      <c r="O246" s="51"/>
      <c r="P246" s="51"/>
      <c r="Q246" s="37"/>
      <c r="R246" s="70"/>
      <c r="S246" s="70"/>
      <c r="T246" s="70"/>
      <c r="U246" s="71"/>
      <c r="V246" s="73"/>
      <c r="W246" s="75"/>
      <c r="X246" s="117"/>
      <c r="Y246" s="111"/>
      <c r="Z246" s="111"/>
      <c r="AH246" s="18"/>
      <c r="AI246" s="18"/>
      <c r="AJ246" s="18"/>
      <c r="AK246" s="18"/>
      <c r="AL246" s="18"/>
      <c r="AM246" s="18"/>
      <c r="AN246" s="18"/>
    </row>
    <row r="247" spans="1:40">
      <c r="A247" s="51"/>
      <c r="B247" s="51"/>
      <c r="C247" s="51"/>
      <c r="D247" s="51"/>
      <c r="E247" s="51"/>
      <c r="F247" s="55"/>
      <c r="G247" s="56"/>
      <c r="H247" s="57"/>
      <c r="I247" s="51"/>
      <c r="J247" s="51"/>
      <c r="K247" s="58"/>
      <c r="L247" s="59"/>
      <c r="M247" s="58"/>
      <c r="N247" s="58"/>
      <c r="O247" s="51"/>
      <c r="P247" s="51"/>
      <c r="Q247" s="37"/>
      <c r="R247" s="70"/>
      <c r="S247" s="70"/>
      <c r="T247" s="70"/>
      <c r="U247" s="71"/>
      <c r="V247" s="73"/>
      <c r="W247" s="75"/>
      <c r="X247" s="117"/>
      <c r="Y247" s="111"/>
      <c r="Z247" s="111"/>
      <c r="AH247" s="18"/>
      <c r="AI247" s="18"/>
      <c r="AJ247" s="18"/>
      <c r="AK247" s="18"/>
      <c r="AL247" s="18"/>
      <c r="AM247" s="18"/>
      <c r="AN247" s="18"/>
    </row>
    <row r="248" spans="1:40">
      <c r="A248" s="51"/>
      <c r="B248" s="51"/>
      <c r="C248" s="51"/>
      <c r="D248" s="51"/>
      <c r="E248" s="51"/>
      <c r="F248" s="55"/>
      <c r="G248" s="56"/>
      <c r="H248" s="57"/>
      <c r="I248" s="51"/>
      <c r="J248" s="51"/>
      <c r="K248" s="58"/>
      <c r="L248" s="59"/>
      <c r="M248" s="58"/>
      <c r="N248" s="58"/>
      <c r="O248" s="51"/>
      <c r="P248" s="51"/>
      <c r="Q248" s="37"/>
      <c r="R248" s="70"/>
      <c r="S248" s="70"/>
      <c r="T248" s="70"/>
      <c r="U248" s="71"/>
      <c r="V248" s="73"/>
      <c r="W248" s="75"/>
      <c r="X248" s="117"/>
      <c r="Y248" s="111"/>
      <c r="Z248" s="111"/>
      <c r="AH248" s="18"/>
      <c r="AI248" s="18"/>
      <c r="AJ248" s="18"/>
      <c r="AK248" s="18"/>
      <c r="AL248" s="18"/>
      <c r="AM248" s="18"/>
      <c r="AN248" s="18"/>
    </row>
    <row r="249" spans="1:40">
      <c r="A249" s="51"/>
      <c r="B249" s="51"/>
      <c r="C249" s="51"/>
      <c r="D249" s="51"/>
      <c r="E249" s="51"/>
      <c r="F249" s="55"/>
      <c r="G249" s="56"/>
      <c r="H249" s="57"/>
      <c r="I249" s="51"/>
      <c r="J249" s="51"/>
      <c r="K249" s="58"/>
      <c r="L249" s="59"/>
      <c r="M249" s="58"/>
      <c r="N249" s="58"/>
      <c r="O249" s="51"/>
      <c r="P249" s="51"/>
      <c r="Q249" s="37"/>
      <c r="R249" s="70"/>
      <c r="S249" s="70"/>
      <c r="T249" s="70"/>
      <c r="U249" s="71"/>
      <c r="V249" s="73"/>
      <c r="W249" s="75"/>
      <c r="X249" s="117"/>
      <c r="Y249" s="111"/>
      <c r="Z249" s="111"/>
      <c r="AH249" s="18"/>
      <c r="AI249" s="18"/>
      <c r="AJ249" s="18"/>
      <c r="AK249" s="18"/>
      <c r="AL249" s="18"/>
      <c r="AM249" s="18"/>
      <c r="AN249" s="18"/>
    </row>
    <row r="250" spans="1:40">
      <c r="A250" s="51"/>
      <c r="B250" s="51"/>
      <c r="C250" s="51"/>
      <c r="D250" s="51"/>
      <c r="E250" s="51"/>
      <c r="F250" s="55"/>
      <c r="G250" s="56"/>
      <c r="H250" s="57"/>
      <c r="I250" s="51"/>
      <c r="J250" s="51"/>
      <c r="K250" s="58"/>
      <c r="L250" s="59"/>
      <c r="M250" s="58"/>
      <c r="N250" s="58"/>
      <c r="O250" s="51"/>
      <c r="P250" s="51"/>
      <c r="Q250" s="37"/>
      <c r="R250" s="70"/>
      <c r="S250" s="70"/>
      <c r="T250" s="70"/>
      <c r="U250" s="71"/>
      <c r="V250" s="73"/>
      <c r="W250" s="75"/>
      <c r="X250" s="117"/>
      <c r="Y250" s="111"/>
      <c r="Z250" s="111"/>
      <c r="AH250" s="18"/>
      <c r="AI250" s="18"/>
      <c r="AJ250" s="18"/>
      <c r="AK250" s="18"/>
      <c r="AL250" s="18"/>
      <c r="AM250" s="18"/>
      <c r="AN250" s="18"/>
    </row>
    <row r="251" spans="1:40">
      <c r="A251" s="51"/>
      <c r="B251" s="51"/>
      <c r="C251" s="51"/>
      <c r="D251" s="51"/>
      <c r="E251" s="51"/>
      <c r="F251" s="55"/>
      <c r="G251" s="56"/>
      <c r="H251" s="57"/>
      <c r="I251" s="51"/>
      <c r="J251" s="51"/>
      <c r="K251" s="58"/>
      <c r="L251" s="59"/>
      <c r="M251" s="58"/>
      <c r="N251" s="58"/>
      <c r="O251" s="51"/>
      <c r="P251" s="51"/>
      <c r="Q251" s="37"/>
      <c r="R251" s="70"/>
      <c r="S251" s="70"/>
      <c r="T251" s="70"/>
      <c r="U251" s="71"/>
      <c r="V251" s="73"/>
      <c r="W251" s="75"/>
      <c r="X251" s="117"/>
      <c r="Y251" s="111"/>
      <c r="Z251" s="111"/>
      <c r="AH251" s="18"/>
      <c r="AI251" s="18"/>
      <c r="AJ251" s="18"/>
      <c r="AK251" s="18"/>
      <c r="AL251" s="18"/>
      <c r="AM251" s="18"/>
      <c r="AN251" s="18"/>
    </row>
    <row r="252" spans="1:40">
      <c r="A252" s="51"/>
      <c r="B252" s="51"/>
      <c r="C252" s="51"/>
      <c r="D252" s="51"/>
      <c r="E252" s="51"/>
      <c r="F252" s="55"/>
      <c r="G252" s="56"/>
      <c r="H252" s="57"/>
      <c r="I252" s="51"/>
      <c r="J252" s="51"/>
      <c r="K252" s="58"/>
      <c r="L252" s="59"/>
      <c r="M252" s="58"/>
      <c r="N252" s="58"/>
      <c r="O252" s="51"/>
      <c r="P252" s="51"/>
      <c r="Q252" s="37"/>
      <c r="R252" s="70"/>
      <c r="S252" s="70"/>
      <c r="T252" s="70"/>
      <c r="U252" s="71"/>
      <c r="V252" s="73"/>
      <c r="W252" s="75"/>
      <c r="X252" s="117"/>
      <c r="Y252" s="111"/>
      <c r="Z252" s="111"/>
      <c r="AH252" s="18"/>
      <c r="AI252" s="18"/>
      <c r="AJ252" s="18"/>
      <c r="AK252" s="18"/>
      <c r="AL252" s="18"/>
      <c r="AM252" s="18"/>
      <c r="AN252" s="18"/>
    </row>
    <row r="253" spans="1:40">
      <c r="A253" s="51"/>
      <c r="B253" s="51"/>
      <c r="C253" s="51"/>
      <c r="D253" s="51"/>
      <c r="E253" s="51"/>
      <c r="F253" s="55"/>
      <c r="G253" s="56"/>
      <c r="H253" s="57"/>
      <c r="I253" s="51"/>
      <c r="J253" s="51"/>
      <c r="K253" s="58"/>
      <c r="L253" s="59"/>
      <c r="M253" s="58"/>
      <c r="N253" s="58"/>
      <c r="O253" s="51"/>
      <c r="P253" s="51"/>
      <c r="Q253" s="37"/>
      <c r="R253" s="70"/>
      <c r="S253" s="70"/>
      <c r="T253" s="70"/>
      <c r="U253" s="71"/>
      <c r="V253" s="73"/>
      <c r="W253" s="75"/>
      <c r="X253" s="117"/>
      <c r="Y253" s="111"/>
      <c r="Z253" s="111"/>
      <c r="AH253" s="18"/>
      <c r="AI253" s="18"/>
      <c r="AJ253" s="18"/>
      <c r="AK253" s="18"/>
      <c r="AL253" s="18"/>
      <c r="AM253" s="18"/>
      <c r="AN253" s="18"/>
    </row>
    <row r="254" spans="1:40">
      <c r="A254" s="51"/>
      <c r="B254" s="51"/>
      <c r="C254" s="51"/>
      <c r="D254" s="51"/>
      <c r="E254" s="51"/>
      <c r="F254" s="55"/>
      <c r="G254" s="56"/>
      <c r="H254" s="57"/>
      <c r="I254" s="51"/>
      <c r="J254" s="51"/>
      <c r="K254" s="58"/>
      <c r="L254" s="59"/>
      <c r="M254" s="58"/>
      <c r="N254" s="58"/>
      <c r="O254" s="51"/>
      <c r="P254" s="51"/>
      <c r="Q254" s="37"/>
      <c r="R254" s="70"/>
      <c r="S254" s="70"/>
      <c r="T254" s="70"/>
      <c r="U254" s="71"/>
      <c r="V254" s="73"/>
      <c r="W254" s="75"/>
      <c r="X254" s="117"/>
      <c r="Y254" s="111"/>
      <c r="Z254" s="111"/>
      <c r="AH254" s="18"/>
      <c r="AI254" s="18"/>
      <c r="AJ254" s="18"/>
      <c r="AK254" s="18"/>
      <c r="AL254" s="18"/>
      <c r="AM254" s="18"/>
      <c r="AN254" s="18"/>
    </row>
    <row r="255" spans="1:40">
      <c r="A255" s="51"/>
      <c r="B255" s="51"/>
      <c r="C255" s="51"/>
      <c r="D255" s="51"/>
      <c r="E255" s="51"/>
      <c r="F255" s="55"/>
      <c r="G255" s="56"/>
      <c r="H255" s="57"/>
      <c r="I255" s="51"/>
      <c r="J255" s="51"/>
      <c r="K255" s="58"/>
      <c r="L255" s="59"/>
      <c r="M255" s="58"/>
      <c r="N255" s="58"/>
      <c r="O255" s="51"/>
      <c r="P255" s="51"/>
      <c r="Q255" s="37"/>
      <c r="R255" s="70"/>
      <c r="S255" s="70"/>
      <c r="T255" s="70"/>
      <c r="U255" s="71"/>
      <c r="V255" s="73"/>
      <c r="W255" s="75"/>
      <c r="X255" s="117"/>
      <c r="Y255" s="111"/>
      <c r="Z255" s="111"/>
      <c r="AH255" s="18"/>
      <c r="AI255" s="18"/>
      <c r="AJ255" s="18"/>
      <c r="AK255" s="18"/>
      <c r="AL255" s="18"/>
      <c r="AM255" s="18"/>
      <c r="AN255" s="18"/>
    </row>
    <row r="256" spans="1:40">
      <c r="A256" s="51"/>
      <c r="B256" s="51"/>
      <c r="C256" s="51"/>
      <c r="D256" s="51"/>
      <c r="E256" s="51"/>
      <c r="F256" s="55"/>
      <c r="G256" s="56"/>
      <c r="H256" s="57"/>
      <c r="I256" s="51"/>
      <c r="J256" s="51"/>
      <c r="K256" s="58"/>
      <c r="L256" s="59"/>
      <c r="M256" s="58"/>
      <c r="N256" s="58"/>
      <c r="O256" s="51"/>
      <c r="P256" s="51"/>
      <c r="Q256" s="37"/>
      <c r="R256" s="70"/>
      <c r="S256" s="70"/>
      <c r="T256" s="70"/>
      <c r="U256" s="71"/>
      <c r="V256" s="73"/>
      <c r="W256" s="75"/>
      <c r="X256" s="117"/>
      <c r="Y256" s="111"/>
      <c r="Z256" s="111"/>
      <c r="AH256" s="18"/>
      <c r="AI256" s="18"/>
      <c r="AJ256" s="18"/>
      <c r="AK256" s="18"/>
      <c r="AL256" s="18"/>
      <c r="AM256" s="18"/>
      <c r="AN256" s="18"/>
    </row>
    <row r="257" spans="1:40">
      <c r="A257" s="51"/>
      <c r="B257" s="51"/>
      <c r="C257" s="51"/>
      <c r="D257" s="51"/>
      <c r="E257" s="51"/>
      <c r="F257" s="55"/>
      <c r="G257" s="56"/>
      <c r="H257" s="57"/>
      <c r="I257" s="51"/>
      <c r="J257" s="51"/>
      <c r="K257" s="58"/>
      <c r="L257" s="59"/>
      <c r="M257" s="58"/>
      <c r="N257" s="58"/>
      <c r="O257" s="51"/>
      <c r="P257" s="51"/>
      <c r="Q257" s="37"/>
      <c r="R257" s="70"/>
      <c r="S257" s="70"/>
      <c r="T257" s="70"/>
      <c r="U257" s="71"/>
      <c r="V257" s="73"/>
      <c r="W257" s="75"/>
      <c r="X257" s="117"/>
      <c r="Y257" s="111"/>
      <c r="Z257" s="111"/>
      <c r="AH257" s="18"/>
      <c r="AI257" s="18"/>
      <c r="AJ257" s="18"/>
      <c r="AK257" s="18"/>
      <c r="AL257" s="18"/>
      <c r="AM257" s="18"/>
      <c r="AN257" s="18"/>
    </row>
    <row r="258" spans="1:40">
      <c r="A258" s="51"/>
      <c r="B258" s="51"/>
      <c r="C258" s="51"/>
      <c r="D258" s="51"/>
      <c r="E258" s="51"/>
      <c r="F258" s="55"/>
      <c r="G258" s="56"/>
      <c r="H258" s="57"/>
      <c r="I258" s="51"/>
      <c r="J258" s="51"/>
      <c r="K258" s="58"/>
      <c r="L258" s="59"/>
      <c r="M258" s="58"/>
      <c r="N258" s="58"/>
      <c r="O258" s="51"/>
      <c r="P258" s="51"/>
      <c r="Q258" s="37"/>
      <c r="R258" s="70"/>
      <c r="S258" s="70"/>
      <c r="T258" s="70"/>
      <c r="U258" s="71"/>
      <c r="V258" s="73"/>
      <c r="W258" s="75"/>
      <c r="X258" s="117"/>
      <c r="Y258" s="111"/>
      <c r="Z258" s="111"/>
      <c r="AH258" s="18"/>
      <c r="AI258" s="18"/>
      <c r="AJ258" s="18"/>
      <c r="AK258" s="18"/>
      <c r="AL258" s="18"/>
      <c r="AM258" s="18"/>
      <c r="AN258" s="18"/>
    </row>
    <row r="259" spans="1:40">
      <c r="A259" s="51"/>
      <c r="B259" s="51"/>
      <c r="C259" s="51"/>
      <c r="D259" s="51"/>
      <c r="E259" s="51"/>
      <c r="F259" s="55"/>
      <c r="G259" s="56"/>
      <c r="H259" s="57"/>
      <c r="I259" s="51"/>
      <c r="J259" s="51"/>
      <c r="K259" s="58"/>
      <c r="L259" s="59"/>
      <c r="M259" s="58"/>
      <c r="N259" s="58"/>
      <c r="O259" s="51"/>
      <c r="P259" s="51"/>
      <c r="Q259" s="37"/>
      <c r="R259" s="70"/>
      <c r="S259" s="70"/>
      <c r="T259" s="70"/>
      <c r="U259" s="71"/>
      <c r="V259" s="73"/>
      <c r="W259" s="75"/>
      <c r="X259" s="117"/>
      <c r="Y259" s="111"/>
      <c r="Z259" s="111"/>
      <c r="AH259" s="18"/>
      <c r="AI259" s="18"/>
      <c r="AJ259" s="18"/>
      <c r="AK259" s="18"/>
      <c r="AL259" s="18"/>
      <c r="AM259" s="18"/>
      <c r="AN259" s="18"/>
    </row>
    <row r="260" spans="1:40">
      <c r="A260" s="51"/>
      <c r="B260" s="51"/>
      <c r="C260" s="51"/>
      <c r="D260" s="51"/>
      <c r="E260" s="51"/>
      <c r="F260" s="55"/>
      <c r="G260" s="56"/>
      <c r="H260" s="57"/>
      <c r="I260" s="51"/>
      <c r="J260" s="51"/>
      <c r="K260" s="58"/>
      <c r="L260" s="59"/>
      <c r="M260" s="58"/>
      <c r="N260" s="58"/>
      <c r="O260" s="51"/>
      <c r="P260" s="51"/>
      <c r="Q260" s="37"/>
      <c r="R260" s="70"/>
      <c r="S260" s="70"/>
      <c r="T260" s="70"/>
      <c r="U260" s="71"/>
      <c r="V260" s="73"/>
      <c r="W260" s="75"/>
      <c r="X260" s="117"/>
      <c r="Y260" s="111"/>
      <c r="Z260" s="111"/>
      <c r="AH260" s="18"/>
      <c r="AI260" s="18"/>
      <c r="AJ260" s="18"/>
      <c r="AK260" s="18"/>
      <c r="AL260" s="18"/>
      <c r="AM260" s="18"/>
      <c r="AN260" s="18"/>
    </row>
    <row r="261" spans="1:40">
      <c r="A261" s="51"/>
      <c r="B261" s="51"/>
      <c r="C261" s="51"/>
      <c r="D261" s="51"/>
      <c r="E261" s="51"/>
      <c r="F261" s="55"/>
      <c r="G261" s="56"/>
      <c r="H261" s="57"/>
      <c r="I261" s="51"/>
      <c r="J261" s="51"/>
      <c r="K261" s="58"/>
      <c r="L261" s="59"/>
      <c r="M261" s="58"/>
      <c r="N261" s="58"/>
      <c r="O261" s="51"/>
      <c r="P261" s="51"/>
      <c r="Q261" s="37"/>
      <c r="R261" s="70"/>
      <c r="S261" s="70"/>
      <c r="T261" s="70"/>
      <c r="U261" s="71"/>
      <c r="V261" s="73"/>
      <c r="W261" s="75"/>
      <c r="X261" s="117"/>
      <c r="Y261" s="111"/>
      <c r="Z261" s="111"/>
      <c r="AH261" s="18"/>
      <c r="AI261" s="18"/>
      <c r="AJ261" s="18"/>
      <c r="AK261" s="18"/>
      <c r="AL261" s="18"/>
      <c r="AM261" s="18"/>
      <c r="AN261" s="18"/>
    </row>
    <row r="262" spans="1:40">
      <c r="A262" s="51"/>
      <c r="B262" s="51"/>
      <c r="C262" s="51"/>
      <c r="D262" s="51"/>
      <c r="E262" s="51"/>
      <c r="F262" s="55"/>
      <c r="G262" s="56"/>
      <c r="H262" s="57"/>
      <c r="I262" s="51"/>
      <c r="J262" s="51"/>
      <c r="K262" s="58"/>
      <c r="L262" s="59"/>
      <c r="M262" s="58"/>
      <c r="N262" s="58"/>
      <c r="O262" s="51"/>
      <c r="P262" s="51"/>
      <c r="Q262" s="37"/>
      <c r="R262" s="70"/>
      <c r="S262" s="70"/>
      <c r="T262" s="70"/>
      <c r="U262" s="71"/>
      <c r="V262" s="73"/>
      <c r="W262" s="75"/>
      <c r="X262" s="117"/>
      <c r="Y262" s="111"/>
      <c r="Z262" s="111"/>
      <c r="AH262" s="18"/>
      <c r="AI262" s="18"/>
      <c r="AJ262" s="18"/>
      <c r="AK262" s="18"/>
      <c r="AL262" s="18"/>
      <c r="AM262" s="18"/>
      <c r="AN262" s="18"/>
    </row>
    <row r="263" spans="1:40">
      <c r="A263" s="51"/>
      <c r="B263" s="51"/>
      <c r="C263" s="51"/>
      <c r="D263" s="51"/>
      <c r="E263" s="51"/>
      <c r="F263" s="55"/>
      <c r="G263" s="56"/>
      <c r="H263" s="57"/>
      <c r="I263" s="51"/>
      <c r="J263" s="51"/>
      <c r="K263" s="58"/>
      <c r="L263" s="59"/>
      <c r="M263" s="58"/>
      <c r="N263" s="58"/>
      <c r="O263" s="51"/>
      <c r="P263" s="51"/>
      <c r="Q263" s="37"/>
      <c r="R263" s="70"/>
      <c r="S263" s="70"/>
      <c r="T263" s="70"/>
      <c r="U263" s="71"/>
      <c r="V263" s="73"/>
      <c r="W263" s="75"/>
      <c r="X263" s="117"/>
      <c r="Y263" s="111"/>
      <c r="Z263" s="111"/>
      <c r="AH263" s="18"/>
      <c r="AI263" s="18"/>
      <c r="AJ263" s="18"/>
      <c r="AK263" s="18"/>
      <c r="AL263" s="18"/>
      <c r="AM263" s="18"/>
      <c r="AN263" s="18"/>
    </row>
    <row r="264" spans="1:40">
      <c r="A264" s="51"/>
      <c r="B264" s="51"/>
      <c r="C264" s="51"/>
      <c r="D264" s="51"/>
      <c r="E264" s="51"/>
      <c r="F264" s="55"/>
      <c r="G264" s="56"/>
      <c r="H264" s="57"/>
      <c r="I264" s="51"/>
      <c r="J264" s="51"/>
      <c r="K264" s="58"/>
      <c r="L264" s="59"/>
      <c r="M264" s="58"/>
      <c r="N264" s="58"/>
      <c r="O264" s="51"/>
      <c r="P264" s="51"/>
      <c r="Q264" s="37"/>
      <c r="R264" s="70"/>
      <c r="S264" s="70"/>
      <c r="T264" s="70"/>
      <c r="U264" s="71"/>
      <c r="V264" s="73"/>
      <c r="W264" s="75"/>
      <c r="X264" s="117"/>
      <c r="Y264" s="111"/>
      <c r="Z264" s="111"/>
      <c r="AH264" s="18"/>
      <c r="AI264" s="18"/>
      <c r="AJ264" s="18"/>
      <c r="AK264" s="18"/>
      <c r="AL264" s="18"/>
      <c r="AM264" s="18"/>
      <c r="AN264" s="18"/>
    </row>
    <row r="265" spans="1:40">
      <c r="A265" s="51"/>
      <c r="B265" s="51"/>
      <c r="C265" s="51"/>
      <c r="D265" s="51"/>
      <c r="E265" s="51"/>
      <c r="F265" s="55"/>
      <c r="G265" s="56"/>
      <c r="H265" s="57"/>
      <c r="I265" s="51"/>
      <c r="J265" s="51"/>
      <c r="K265" s="58"/>
      <c r="L265" s="59"/>
      <c r="M265" s="58"/>
      <c r="N265" s="58"/>
      <c r="O265" s="51"/>
      <c r="P265" s="51"/>
      <c r="Q265" s="37"/>
      <c r="R265" s="70"/>
      <c r="S265" s="70"/>
      <c r="T265" s="70"/>
      <c r="U265" s="71"/>
      <c r="V265" s="73"/>
      <c r="W265" s="75"/>
      <c r="X265" s="117"/>
      <c r="Y265" s="111"/>
      <c r="Z265" s="111"/>
      <c r="AH265" s="18"/>
      <c r="AI265" s="18"/>
      <c r="AJ265" s="18"/>
      <c r="AK265" s="18"/>
      <c r="AL265" s="18"/>
      <c r="AM265" s="18"/>
      <c r="AN265" s="18"/>
    </row>
    <row r="266" spans="1:40">
      <c r="A266" s="51"/>
      <c r="B266" s="51"/>
      <c r="C266" s="51"/>
      <c r="D266" s="51"/>
      <c r="E266" s="51"/>
      <c r="F266" s="55"/>
      <c r="G266" s="56"/>
      <c r="H266" s="57"/>
      <c r="I266" s="51"/>
      <c r="J266" s="51"/>
      <c r="K266" s="58"/>
      <c r="L266" s="59"/>
      <c r="M266" s="58"/>
      <c r="N266" s="58"/>
      <c r="O266" s="51"/>
      <c r="P266" s="51"/>
      <c r="Q266" s="37"/>
      <c r="R266" s="70"/>
      <c r="S266" s="70"/>
      <c r="T266" s="70"/>
      <c r="U266" s="71"/>
      <c r="V266" s="73"/>
      <c r="W266" s="75"/>
      <c r="X266" s="117"/>
      <c r="Y266" s="111"/>
      <c r="Z266" s="111"/>
      <c r="AH266" s="18"/>
      <c r="AI266" s="18"/>
      <c r="AJ266" s="18"/>
      <c r="AK266" s="18"/>
      <c r="AL266" s="18"/>
      <c r="AM266" s="18"/>
      <c r="AN266" s="18"/>
    </row>
    <row r="267" spans="1:40">
      <c r="A267" s="51"/>
      <c r="B267" s="51"/>
      <c r="C267" s="51"/>
      <c r="D267" s="51"/>
      <c r="E267" s="51"/>
      <c r="F267" s="55"/>
      <c r="G267" s="56"/>
      <c r="H267" s="57"/>
      <c r="I267" s="51"/>
      <c r="J267" s="51"/>
      <c r="K267" s="58"/>
      <c r="L267" s="59"/>
      <c r="M267" s="58"/>
      <c r="N267" s="58"/>
      <c r="O267" s="51"/>
      <c r="P267" s="51"/>
      <c r="Q267" s="37"/>
      <c r="R267" s="70"/>
      <c r="S267" s="70"/>
      <c r="T267" s="70"/>
      <c r="U267" s="71"/>
      <c r="V267" s="73"/>
      <c r="W267" s="75"/>
      <c r="X267" s="117"/>
      <c r="Y267" s="111"/>
      <c r="Z267" s="111"/>
      <c r="AH267" s="18"/>
      <c r="AI267" s="18"/>
      <c r="AJ267" s="18"/>
      <c r="AK267" s="18"/>
      <c r="AL267" s="18"/>
      <c r="AM267" s="18"/>
      <c r="AN267" s="18"/>
    </row>
    <row r="268" spans="1:40">
      <c r="A268" s="51"/>
      <c r="B268" s="51"/>
      <c r="C268" s="51"/>
      <c r="D268" s="51"/>
      <c r="E268" s="51"/>
      <c r="F268" s="55"/>
      <c r="G268" s="56"/>
      <c r="H268" s="57"/>
      <c r="I268" s="51"/>
      <c r="J268" s="51"/>
      <c r="K268" s="58"/>
      <c r="L268" s="59"/>
      <c r="M268" s="58"/>
      <c r="N268" s="58"/>
      <c r="O268" s="51"/>
      <c r="P268" s="51"/>
      <c r="Q268" s="37"/>
      <c r="R268" s="70"/>
      <c r="S268" s="70"/>
      <c r="T268" s="70"/>
      <c r="U268" s="71"/>
      <c r="V268" s="73"/>
      <c r="W268" s="75"/>
      <c r="X268" s="117"/>
      <c r="Y268" s="111"/>
      <c r="Z268" s="111"/>
      <c r="AH268" s="18"/>
      <c r="AI268" s="18"/>
      <c r="AJ268" s="18"/>
      <c r="AK268" s="18"/>
      <c r="AL268" s="18"/>
      <c r="AM268" s="18"/>
      <c r="AN268" s="18"/>
    </row>
    <row r="269" spans="1:40">
      <c r="A269" s="51"/>
      <c r="B269" s="51"/>
      <c r="C269" s="51"/>
      <c r="D269" s="51"/>
      <c r="E269" s="51"/>
      <c r="F269" s="55"/>
      <c r="G269" s="56"/>
      <c r="H269" s="57"/>
      <c r="I269" s="51"/>
      <c r="J269" s="51"/>
      <c r="K269" s="58"/>
      <c r="L269" s="59"/>
      <c r="M269" s="58"/>
      <c r="N269" s="58"/>
      <c r="O269" s="51"/>
      <c r="P269" s="51"/>
      <c r="Q269" s="37"/>
      <c r="R269" s="70"/>
      <c r="S269" s="70"/>
      <c r="T269" s="70"/>
      <c r="U269" s="71"/>
      <c r="V269" s="73"/>
      <c r="W269" s="75"/>
      <c r="X269" s="117"/>
      <c r="Y269" s="111"/>
      <c r="Z269" s="111"/>
      <c r="AH269" s="18"/>
      <c r="AI269" s="18"/>
      <c r="AJ269" s="18"/>
      <c r="AK269" s="18"/>
      <c r="AL269" s="18"/>
      <c r="AM269" s="18"/>
      <c r="AN269" s="18"/>
    </row>
    <row r="270" spans="1:40">
      <c r="A270" s="51"/>
      <c r="B270" s="51"/>
      <c r="C270" s="51"/>
      <c r="D270" s="51"/>
      <c r="E270" s="51"/>
      <c r="F270" s="55"/>
      <c r="G270" s="56"/>
      <c r="H270" s="57"/>
      <c r="I270" s="51"/>
      <c r="J270" s="51"/>
      <c r="K270" s="58"/>
      <c r="L270" s="59"/>
      <c r="M270" s="58"/>
      <c r="N270" s="58"/>
      <c r="O270" s="51"/>
      <c r="P270" s="51"/>
      <c r="Q270" s="37"/>
      <c r="R270" s="70"/>
      <c r="S270" s="70"/>
      <c r="T270" s="70"/>
      <c r="U270" s="71"/>
      <c r="V270" s="73"/>
      <c r="W270" s="75"/>
      <c r="X270" s="117"/>
      <c r="Y270" s="111"/>
      <c r="Z270" s="111"/>
      <c r="AH270" s="18"/>
      <c r="AI270" s="18"/>
      <c r="AJ270" s="18"/>
      <c r="AK270" s="18"/>
      <c r="AL270" s="18"/>
      <c r="AM270" s="18"/>
      <c r="AN270" s="18"/>
    </row>
    <row r="271" spans="1:40">
      <c r="A271" s="51"/>
      <c r="B271" s="51"/>
      <c r="C271" s="51"/>
      <c r="D271" s="51"/>
      <c r="E271" s="51"/>
      <c r="F271" s="55"/>
      <c r="G271" s="56"/>
      <c r="H271" s="57"/>
      <c r="I271" s="51"/>
      <c r="J271" s="51"/>
      <c r="K271" s="58"/>
      <c r="L271" s="59"/>
      <c r="M271" s="58"/>
      <c r="N271" s="58"/>
      <c r="O271" s="51"/>
      <c r="P271" s="51"/>
      <c r="Q271" s="37"/>
      <c r="R271" s="70"/>
      <c r="S271" s="70"/>
      <c r="T271" s="70"/>
      <c r="U271" s="71"/>
      <c r="V271" s="73"/>
      <c r="W271" s="75"/>
      <c r="X271" s="117"/>
      <c r="Y271" s="111"/>
      <c r="Z271" s="111"/>
      <c r="AH271" s="18"/>
      <c r="AI271" s="18"/>
      <c r="AJ271" s="18"/>
      <c r="AK271" s="18"/>
      <c r="AL271" s="18"/>
      <c r="AM271" s="18"/>
      <c r="AN271" s="18"/>
    </row>
    <row r="272" spans="1:40">
      <c r="A272" s="51"/>
      <c r="B272" s="51"/>
      <c r="C272" s="51"/>
      <c r="D272" s="51"/>
      <c r="E272" s="51"/>
      <c r="F272" s="55"/>
      <c r="G272" s="56"/>
      <c r="H272" s="57"/>
      <c r="I272" s="51"/>
      <c r="J272" s="51"/>
      <c r="K272" s="58"/>
      <c r="L272" s="59"/>
      <c r="M272" s="58"/>
      <c r="N272" s="58"/>
      <c r="O272" s="51"/>
      <c r="P272" s="51"/>
      <c r="Q272" s="37"/>
      <c r="R272" s="70"/>
      <c r="S272" s="70"/>
      <c r="T272" s="70"/>
      <c r="U272" s="71"/>
      <c r="V272" s="73"/>
      <c r="W272" s="75"/>
      <c r="X272" s="117"/>
      <c r="Y272" s="111"/>
      <c r="Z272" s="111"/>
      <c r="AH272" s="18"/>
      <c r="AI272" s="18"/>
      <c r="AJ272" s="18"/>
      <c r="AK272" s="18"/>
      <c r="AL272" s="18"/>
      <c r="AM272" s="18"/>
      <c r="AN272" s="18"/>
    </row>
    <row r="273" spans="1:40">
      <c r="A273" s="51"/>
      <c r="B273" s="51"/>
      <c r="C273" s="51"/>
      <c r="D273" s="51"/>
      <c r="E273" s="51"/>
      <c r="F273" s="55"/>
      <c r="G273" s="56"/>
      <c r="H273" s="57"/>
      <c r="I273" s="51"/>
      <c r="J273" s="51"/>
      <c r="K273" s="58"/>
      <c r="L273" s="59"/>
      <c r="M273" s="58"/>
      <c r="N273" s="58"/>
      <c r="O273" s="51"/>
      <c r="P273" s="51"/>
      <c r="Q273" s="37"/>
      <c r="R273" s="70"/>
      <c r="S273" s="70"/>
      <c r="T273" s="70"/>
      <c r="U273" s="71"/>
      <c r="V273" s="73"/>
      <c r="W273" s="75"/>
      <c r="X273" s="117"/>
      <c r="Y273" s="111"/>
      <c r="Z273" s="111"/>
      <c r="AH273" s="18"/>
      <c r="AI273" s="18"/>
      <c r="AJ273" s="18"/>
      <c r="AK273" s="18"/>
      <c r="AL273" s="18"/>
      <c r="AM273" s="18"/>
      <c r="AN273" s="18"/>
    </row>
    <row r="274" spans="1:40">
      <c r="A274" s="51"/>
      <c r="B274" s="51"/>
      <c r="C274" s="51"/>
      <c r="D274" s="51"/>
      <c r="E274" s="51"/>
      <c r="F274" s="55"/>
      <c r="G274" s="56"/>
      <c r="H274" s="57"/>
      <c r="I274" s="51"/>
      <c r="J274" s="51"/>
      <c r="K274" s="58"/>
      <c r="L274" s="59"/>
      <c r="M274" s="58"/>
      <c r="N274" s="58"/>
      <c r="O274" s="51"/>
      <c r="P274" s="51"/>
      <c r="Q274" s="37"/>
      <c r="R274" s="70"/>
      <c r="S274" s="70"/>
      <c r="T274" s="70"/>
      <c r="U274" s="71"/>
      <c r="V274" s="73"/>
      <c r="W274" s="75"/>
      <c r="X274" s="117"/>
      <c r="Y274" s="111"/>
      <c r="Z274" s="111"/>
      <c r="AH274" s="18"/>
      <c r="AI274" s="18"/>
      <c r="AJ274" s="18"/>
      <c r="AK274" s="18"/>
      <c r="AL274" s="18"/>
      <c r="AM274" s="18"/>
      <c r="AN274" s="18"/>
    </row>
    <row r="275" spans="1:40">
      <c r="A275" s="51"/>
      <c r="B275" s="51"/>
      <c r="C275" s="51"/>
      <c r="D275" s="51"/>
      <c r="E275" s="51"/>
      <c r="F275" s="55"/>
      <c r="G275" s="56"/>
      <c r="H275" s="57"/>
      <c r="I275" s="51"/>
      <c r="J275" s="51"/>
      <c r="K275" s="58"/>
      <c r="L275" s="59"/>
      <c r="M275" s="58"/>
      <c r="N275" s="58"/>
      <c r="O275" s="51"/>
      <c r="P275" s="51"/>
      <c r="Q275" s="37"/>
      <c r="R275" s="70"/>
      <c r="S275" s="70"/>
      <c r="T275" s="70"/>
      <c r="U275" s="71"/>
      <c r="V275" s="73"/>
      <c r="W275" s="75"/>
      <c r="X275" s="117"/>
      <c r="Y275" s="111"/>
      <c r="Z275" s="111"/>
      <c r="AH275" s="18"/>
      <c r="AI275" s="18"/>
      <c r="AJ275" s="18"/>
      <c r="AK275" s="18"/>
      <c r="AL275" s="18"/>
      <c r="AM275" s="18"/>
      <c r="AN275" s="18"/>
    </row>
    <row r="276" spans="1:40">
      <c r="A276" s="51"/>
      <c r="B276" s="51"/>
      <c r="C276" s="51"/>
      <c r="D276" s="51"/>
      <c r="E276" s="51"/>
      <c r="F276" s="55"/>
      <c r="G276" s="56"/>
      <c r="H276" s="57"/>
      <c r="I276" s="51"/>
      <c r="J276" s="51"/>
      <c r="K276" s="58"/>
      <c r="L276" s="59"/>
      <c r="M276" s="58"/>
      <c r="N276" s="58"/>
      <c r="O276" s="51"/>
      <c r="P276" s="51"/>
      <c r="Q276" s="37"/>
      <c r="R276" s="70"/>
      <c r="S276" s="70"/>
      <c r="T276" s="70"/>
      <c r="U276" s="71"/>
      <c r="V276" s="73"/>
      <c r="W276" s="75"/>
      <c r="X276" s="117"/>
      <c r="Y276" s="111"/>
      <c r="Z276" s="111"/>
      <c r="AH276" s="18"/>
      <c r="AI276" s="18"/>
      <c r="AJ276" s="18"/>
      <c r="AK276" s="18"/>
      <c r="AL276" s="18"/>
      <c r="AM276" s="18"/>
      <c r="AN276" s="18"/>
    </row>
    <row r="277" spans="1:40">
      <c r="A277" s="51"/>
      <c r="B277" s="51"/>
      <c r="C277" s="51"/>
      <c r="D277" s="51"/>
      <c r="E277" s="51"/>
      <c r="F277" s="55"/>
      <c r="G277" s="56"/>
      <c r="H277" s="57"/>
      <c r="I277" s="51"/>
      <c r="J277" s="51"/>
      <c r="K277" s="58"/>
      <c r="L277" s="59"/>
      <c r="M277" s="58"/>
      <c r="N277" s="58"/>
      <c r="O277" s="51"/>
      <c r="P277" s="51"/>
      <c r="Q277" s="37"/>
      <c r="R277" s="70"/>
      <c r="S277" s="70"/>
      <c r="T277" s="70"/>
      <c r="U277" s="71"/>
      <c r="V277" s="73"/>
      <c r="W277" s="75"/>
      <c r="X277" s="117"/>
      <c r="Y277" s="111"/>
      <c r="Z277" s="111"/>
      <c r="AH277" s="18"/>
      <c r="AI277" s="18"/>
      <c r="AJ277" s="18"/>
      <c r="AK277" s="18"/>
      <c r="AL277" s="18"/>
      <c r="AM277" s="18"/>
      <c r="AN277" s="18"/>
    </row>
    <row r="278" spans="1:40">
      <c r="A278" s="51"/>
      <c r="B278" s="51"/>
      <c r="C278" s="51"/>
      <c r="D278" s="51"/>
      <c r="E278" s="51"/>
      <c r="F278" s="55"/>
      <c r="G278" s="56"/>
      <c r="H278" s="57"/>
      <c r="I278" s="51"/>
      <c r="J278" s="51"/>
      <c r="K278" s="58"/>
      <c r="L278" s="59"/>
      <c r="M278" s="58"/>
      <c r="N278" s="58"/>
      <c r="O278" s="51"/>
      <c r="P278" s="51"/>
      <c r="Q278" s="37"/>
      <c r="R278" s="70"/>
      <c r="S278" s="70"/>
      <c r="T278" s="70"/>
      <c r="U278" s="71"/>
      <c r="V278" s="73"/>
      <c r="W278" s="75"/>
      <c r="X278" s="117"/>
      <c r="Y278" s="111"/>
      <c r="Z278" s="111"/>
      <c r="AH278" s="18"/>
      <c r="AI278" s="18"/>
      <c r="AJ278" s="18"/>
      <c r="AK278" s="18"/>
      <c r="AL278" s="18"/>
      <c r="AM278" s="18"/>
      <c r="AN278" s="18"/>
    </row>
    <row r="279" spans="1:40">
      <c r="A279" s="51"/>
      <c r="B279" s="51"/>
      <c r="C279" s="51"/>
      <c r="D279" s="51"/>
      <c r="E279" s="51"/>
      <c r="F279" s="55"/>
      <c r="G279" s="56"/>
      <c r="H279" s="57"/>
      <c r="I279" s="51"/>
      <c r="J279" s="51"/>
      <c r="K279" s="58"/>
      <c r="L279" s="59"/>
      <c r="M279" s="58"/>
      <c r="N279" s="58"/>
      <c r="O279" s="51"/>
      <c r="P279" s="51"/>
      <c r="Q279" s="37"/>
      <c r="R279" s="70"/>
      <c r="S279" s="70"/>
      <c r="T279" s="70"/>
      <c r="U279" s="71"/>
      <c r="V279" s="73"/>
      <c r="W279" s="75"/>
      <c r="X279" s="117"/>
      <c r="Y279" s="111"/>
      <c r="Z279" s="111"/>
      <c r="AH279" s="18"/>
      <c r="AI279" s="18"/>
      <c r="AJ279" s="18"/>
      <c r="AK279" s="18"/>
      <c r="AL279" s="18"/>
      <c r="AM279" s="18"/>
      <c r="AN279" s="18"/>
    </row>
    <row r="280" spans="1:40">
      <c r="A280" s="51"/>
      <c r="B280" s="51"/>
      <c r="C280" s="51"/>
      <c r="D280" s="51"/>
      <c r="E280" s="51"/>
      <c r="F280" s="55"/>
      <c r="G280" s="56"/>
      <c r="H280" s="57"/>
      <c r="I280" s="51"/>
      <c r="J280" s="51"/>
      <c r="K280" s="58"/>
      <c r="L280" s="59"/>
      <c r="M280" s="58"/>
      <c r="N280" s="58"/>
      <c r="O280" s="51"/>
      <c r="P280" s="51"/>
      <c r="Q280" s="37"/>
      <c r="R280" s="70"/>
      <c r="S280" s="70"/>
      <c r="T280" s="70"/>
      <c r="U280" s="71"/>
      <c r="V280" s="73"/>
      <c r="W280" s="75"/>
      <c r="X280" s="117"/>
      <c r="Y280" s="111"/>
      <c r="Z280" s="111"/>
      <c r="AH280" s="18"/>
      <c r="AI280" s="18"/>
      <c r="AJ280" s="18"/>
      <c r="AK280" s="18"/>
      <c r="AL280" s="18"/>
      <c r="AM280" s="18"/>
      <c r="AN280" s="18"/>
    </row>
    <row r="281" spans="1:40">
      <c r="A281" s="51"/>
      <c r="B281" s="51"/>
      <c r="C281" s="51"/>
      <c r="D281" s="51"/>
      <c r="E281" s="51"/>
      <c r="F281" s="55"/>
      <c r="G281" s="56"/>
      <c r="H281" s="57"/>
      <c r="I281" s="51"/>
      <c r="J281" s="51"/>
      <c r="K281" s="58"/>
      <c r="L281" s="59"/>
      <c r="M281" s="58"/>
      <c r="N281" s="58"/>
      <c r="O281" s="51"/>
      <c r="P281" s="51"/>
      <c r="Q281" s="37"/>
      <c r="R281" s="70"/>
      <c r="S281" s="70"/>
      <c r="T281" s="70"/>
      <c r="U281" s="71"/>
      <c r="V281" s="73"/>
      <c r="W281" s="75"/>
      <c r="X281" s="117"/>
      <c r="Y281" s="111"/>
      <c r="Z281" s="111"/>
      <c r="AH281" s="18"/>
      <c r="AI281" s="18"/>
      <c r="AJ281" s="18"/>
      <c r="AK281" s="18"/>
      <c r="AL281" s="18"/>
      <c r="AM281" s="18"/>
      <c r="AN281" s="18"/>
    </row>
    <row r="282" spans="1:40">
      <c r="A282" s="51"/>
      <c r="B282" s="51"/>
      <c r="C282" s="51"/>
      <c r="D282" s="51"/>
      <c r="E282" s="51"/>
      <c r="F282" s="55"/>
      <c r="G282" s="56"/>
      <c r="H282" s="57"/>
      <c r="I282" s="51"/>
      <c r="J282" s="51"/>
      <c r="K282" s="58"/>
      <c r="L282" s="59"/>
      <c r="M282" s="58"/>
      <c r="N282" s="58"/>
      <c r="O282" s="51"/>
      <c r="P282" s="51"/>
      <c r="Q282" s="37"/>
      <c r="R282" s="70"/>
      <c r="S282" s="70"/>
      <c r="T282" s="70"/>
      <c r="U282" s="71"/>
      <c r="V282" s="73"/>
      <c r="W282" s="75"/>
      <c r="X282" s="117"/>
      <c r="Y282" s="111"/>
      <c r="Z282" s="111"/>
      <c r="AH282" s="18"/>
      <c r="AI282" s="18"/>
      <c r="AJ282" s="18"/>
      <c r="AK282" s="18"/>
      <c r="AL282" s="18"/>
      <c r="AM282" s="18"/>
      <c r="AN282" s="18"/>
    </row>
    <row r="283" spans="1:40">
      <c r="A283" s="51"/>
      <c r="B283" s="51"/>
      <c r="C283" s="51"/>
      <c r="D283" s="51"/>
      <c r="E283" s="51"/>
      <c r="F283" s="55"/>
      <c r="G283" s="56"/>
      <c r="H283" s="57"/>
      <c r="I283" s="51"/>
      <c r="J283" s="51"/>
      <c r="K283" s="58"/>
      <c r="L283" s="59"/>
      <c r="M283" s="58"/>
      <c r="N283" s="58"/>
      <c r="O283" s="51"/>
      <c r="P283" s="51"/>
      <c r="Q283" s="37"/>
      <c r="R283" s="70"/>
      <c r="S283" s="70"/>
      <c r="T283" s="70"/>
      <c r="U283" s="71"/>
      <c r="V283" s="73"/>
      <c r="W283" s="75"/>
      <c r="X283" s="117"/>
      <c r="Y283" s="111"/>
      <c r="Z283" s="111"/>
      <c r="AH283" s="18"/>
      <c r="AI283" s="18"/>
      <c r="AJ283" s="18"/>
      <c r="AK283" s="18"/>
      <c r="AL283" s="18"/>
      <c r="AM283" s="18"/>
      <c r="AN283" s="18"/>
    </row>
    <row r="284" spans="1:40">
      <c r="A284" s="51"/>
      <c r="B284" s="51"/>
      <c r="C284" s="51"/>
      <c r="D284" s="51"/>
      <c r="E284" s="51"/>
      <c r="F284" s="55"/>
      <c r="G284" s="56"/>
      <c r="H284" s="57"/>
      <c r="I284" s="51"/>
      <c r="J284" s="51"/>
      <c r="K284" s="58"/>
      <c r="L284" s="59"/>
      <c r="M284" s="58"/>
      <c r="N284" s="58"/>
      <c r="O284" s="51"/>
      <c r="P284" s="51"/>
      <c r="Q284" s="37"/>
      <c r="R284" s="70"/>
      <c r="S284" s="70"/>
      <c r="T284" s="70"/>
      <c r="U284" s="71"/>
      <c r="V284" s="73"/>
      <c r="W284" s="75"/>
      <c r="X284" s="117"/>
      <c r="Y284" s="111"/>
      <c r="Z284" s="111"/>
      <c r="AH284" s="18"/>
      <c r="AI284" s="18"/>
      <c r="AJ284" s="18"/>
      <c r="AK284" s="18"/>
      <c r="AL284" s="18"/>
      <c r="AM284" s="18"/>
      <c r="AN284" s="18"/>
    </row>
    <row r="285" spans="1:40">
      <c r="A285" s="51"/>
      <c r="B285" s="51"/>
      <c r="C285" s="51"/>
      <c r="D285" s="51"/>
      <c r="E285" s="51"/>
      <c r="F285" s="55"/>
      <c r="G285" s="56"/>
      <c r="H285" s="57"/>
      <c r="I285" s="51"/>
      <c r="J285" s="51"/>
      <c r="K285" s="58"/>
      <c r="L285" s="59"/>
      <c r="M285" s="58"/>
      <c r="N285" s="58"/>
      <c r="O285" s="51"/>
      <c r="P285" s="51"/>
      <c r="Q285" s="37"/>
      <c r="R285" s="70"/>
      <c r="S285" s="70"/>
      <c r="T285" s="70"/>
      <c r="U285" s="71"/>
      <c r="V285" s="73"/>
      <c r="W285" s="75"/>
      <c r="X285" s="117"/>
      <c r="Y285" s="111"/>
      <c r="Z285" s="111"/>
      <c r="AH285" s="18"/>
      <c r="AI285" s="18"/>
      <c r="AJ285" s="18"/>
      <c r="AK285" s="18"/>
      <c r="AL285" s="18"/>
      <c r="AM285" s="18"/>
      <c r="AN285" s="18"/>
    </row>
    <row r="286" spans="1:40">
      <c r="A286" s="51"/>
      <c r="B286" s="51"/>
      <c r="C286" s="51"/>
      <c r="D286" s="51"/>
      <c r="E286" s="51"/>
      <c r="F286" s="55"/>
      <c r="G286" s="56"/>
      <c r="H286" s="57"/>
      <c r="I286" s="51"/>
      <c r="J286" s="51"/>
      <c r="K286" s="58"/>
      <c r="L286" s="59"/>
      <c r="M286" s="58"/>
      <c r="N286" s="58"/>
      <c r="O286" s="51"/>
      <c r="P286" s="51"/>
      <c r="Q286" s="37"/>
      <c r="R286" s="70"/>
      <c r="S286" s="70"/>
      <c r="T286" s="70"/>
      <c r="U286" s="71"/>
      <c r="V286" s="73"/>
      <c r="W286" s="75"/>
      <c r="X286" s="117"/>
      <c r="Y286" s="111"/>
      <c r="Z286" s="111"/>
      <c r="AH286" s="18"/>
      <c r="AI286" s="18"/>
      <c r="AJ286" s="18"/>
      <c r="AK286" s="18"/>
      <c r="AL286" s="18"/>
      <c r="AM286" s="18"/>
      <c r="AN286" s="18"/>
    </row>
    <row r="287" spans="1:40">
      <c r="A287" s="51"/>
      <c r="B287" s="51"/>
      <c r="C287" s="51"/>
      <c r="D287" s="51"/>
      <c r="E287" s="51"/>
      <c r="F287" s="55"/>
      <c r="G287" s="56"/>
      <c r="H287" s="57"/>
      <c r="I287" s="51"/>
      <c r="J287" s="51"/>
      <c r="K287" s="58"/>
      <c r="L287" s="59"/>
      <c r="M287" s="58"/>
      <c r="N287" s="58"/>
      <c r="O287" s="51"/>
      <c r="P287" s="51"/>
      <c r="Q287" s="37"/>
      <c r="R287" s="70"/>
      <c r="S287" s="70"/>
      <c r="T287" s="70"/>
      <c r="U287" s="71"/>
      <c r="V287" s="73"/>
      <c r="W287" s="75"/>
      <c r="X287" s="117"/>
      <c r="Y287" s="111"/>
      <c r="Z287" s="111"/>
      <c r="AH287" s="18"/>
      <c r="AI287" s="18"/>
      <c r="AJ287" s="18"/>
      <c r="AK287" s="18"/>
      <c r="AL287" s="18"/>
      <c r="AM287" s="18"/>
      <c r="AN287" s="18"/>
    </row>
    <row r="288" spans="1:40">
      <c r="A288" s="51"/>
      <c r="B288" s="51"/>
      <c r="C288" s="51"/>
      <c r="D288" s="51"/>
      <c r="E288" s="51"/>
      <c r="F288" s="55"/>
      <c r="G288" s="56"/>
      <c r="H288" s="57"/>
      <c r="I288" s="51"/>
      <c r="J288" s="51"/>
      <c r="K288" s="58"/>
      <c r="L288" s="59"/>
      <c r="M288" s="58"/>
      <c r="N288" s="58"/>
      <c r="O288" s="51"/>
      <c r="P288" s="51"/>
      <c r="Q288" s="37"/>
      <c r="R288" s="70"/>
      <c r="S288" s="70"/>
      <c r="T288" s="70"/>
      <c r="U288" s="71"/>
      <c r="V288" s="73"/>
      <c r="W288" s="75"/>
      <c r="X288" s="117"/>
      <c r="Y288" s="111"/>
      <c r="Z288" s="111"/>
      <c r="AH288" s="18"/>
      <c r="AI288" s="18"/>
      <c r="AJ288" s="18"/>
      <c r="AK288" s="18"/>
      <c r="AL288" s="18"/>
      <c r="AM288" s="18"/>
      <c r="AN288" s="18"/>
    </row>
    <row r="289" spans="1:40">
      <c r="A289" s="51"/>
      <c r="B289" s="51"/>
      <c r="C289" s="51"/>
      <c r="D289" s="51"/>
      <c r="E289" s="51"/>
      <c r="F289" s="55"/>
      <c r="G289" s="56"/>
      <c r="H289" s="57"/>
      <c r="I289" s="51"/>
      <c r="J289" s="51"/>
      <c r="K289" s="58"/>
      <c r="L289" s="59"/>
      <c r="M289" s="58"/>
      <c r="N289" s="58"/>
      <c r="O289" s="51"/>
      <c r="P289" s="51"/>
      <c r="Q289" s="37"/>
      <c r="R289" s="70"/>
      <c r="S289" s="70"/>
      <c r="T289" s="70"/>
      <c r="U289" s="71"/>
      <c r="V289" s="73"/>
      <c r="W289" s="75"/>
      <c r="X289" s="117"/>
      <c r="Y289" s="111"/>
      <c r="Z289" s="111"/>
      <c r="AH289" s="18"/>
      <c r="AI289" s="18"/>
      <c r="AJ289" s="18"/>
      <c r="AK289" s="18"/>
      <c r="AL289" s="18"/>
      <c r="AM289" s="18"/>
      <c r="AN289" s="18"/>
    </row>
    <row r="290" spans="1:40">
      <c r="A290" s="51"/>
      <c r="B290" s="51"/>
      <c r="C290" s="51"/>
      <c r="D290" s="51"/>
      <c r="E290" s="51"/>
      <c r="F290" s="55"/>
      <c r="G290" s="56"/>
      <c r="H290" s="57"/>
      <c r="I290" s="51"/>
      <c r="J290" s="51"/>
      <c r="K290" s="58"/>
      <c r="L290" s="59"/>
      <c r="M290" s="58"/>
      <c r="N290" s="58"/>
      <c r="O290" s="51"/>
      <c r="P290" s="51"/>
      <c r="Q290" s="37"/>
      <c r="R290" s="70"/>
      <c r="S290" s="70"/>
      <c r="T290" s="70"/>
      <c r="U290" s="71"/>
      <c r="V290" s="73"/>
      <c r="W290" s="75"/>
      <c r="X290" s="117"/>
      <c r="Y290" s="111"/>
      <c r="Z290" s="111"/>
      <c r="AH290" s="18"/>
      <c r="AI290" s="18"/>
      <c r="AJ290" s="18"/>
      <c r="AK290" s="18"/>
      <c r="AL290" s="18"/>
      <c r="AM290" s="18"/>
      <c r="AN290" s="18"/>
    </row>
    <row r="291" spans="1:40">
      <c r="A291" s="51"/>
      <c r="B291" s="51"/>
      <c r="C291" s="51"/>
      <c r="D291" s="51"/>
      <c r="E291" s="51"/>
      <c r="F291" s="55"/>
      <c r="G291" s="56"/>
      <c r="H291" s="57"/>
      <c r="I291" s="51"/>
      <c r="J291" s="51"/>
      <c r="K291" s="58"/>
      <c r="L291" s="59"/>
      <c r="M291" s="58"/>
      <c r="N291" s="58"/>
      <c r="O291" s="51"/>
      <c r="P291" s="51"/>
      <c r="Q291" s="37"/>
      <c r="R291" s="70"/>
      <c r="S291" s="70"/>
      <c r="T291" s="70"/>
      <c r="U291" s="71"/>
      <c r="V291" s="73"/>
      <c r="W291" s="75"/>
      <c r="X291" s="117"/>
      <c r="Y291" s="111"/>
      <c r="Z291" s="111"/>
      <c r="AH291" s="18"/>
      <c r="AI291" s="18"/>
      <c r="AJ291" s="18"/>
      <c r="AK291" s="18"/>
      <c r="AL291" s="18"/>
      <c r="AM291" s="18"/>
      <c r="AN291" s="18"/>
    </row>
    <row r="292" spans="1:40">
      <c r="A292" s="51"/>
      <c r="B292" s="51"/>
      <c r="C292" s="51"/>
      <c r="D292" s="51"/>
      <c r="E292" s="51"/>
      <c r="F292" s="55"/>
      <c r="G292" s="56"/>
      <c r="H292" s="57"/>
      <c r="I292" s="51"/>
      <c r="J292" s="51"/>
      <c r="K292" s="58"/>
      <c r="L292" s="59"/>
      <c r="M292" s="58"/>
      <c r="N292" s="58"/>
      <c r="O292" s="51"/>
      <c r="P292" s="51"/>
      <c r="Q292" s="37"/>
      <c r="R292" s="70"/>
      <c r="S292" s="70"/>
      <c r="T292" s="70"/>
      <c r="U292" s="71"/>
      <c r="V292" s="73"/>
      <c r="W292" s="75"/>
      <c r="X292" s="117"/>
      <c r="Y292" s="111"/>
      <c r="Z292" s="111"/>
      <c r="AH292" s="18"/>
      <c r="AI292" s="18"/>
      <c r="AJ292" s="18"/>
      <c r="AK292" s="18"/>
      <c r="AL292" s="18"/>
      <c r="AM292" s="18"/>
      <c r="AN292" s="18"/>
    </row>
    <row r="293" spans="1:40">
      <c r="A293" s="51"/>
      <c r="B293" s="51"/>
      <c r="C293" s="51"/>
      <c r="D293" s="51"/>
      <c r="E293" s="51"/>
      <c r="F293" s="55"/>
      <c r="G293" s="56"/>
      <c r="H293" s="57"/>
      <c r="I293" s="51"/>
      <c r="J293" s="51"/>
      <c r="K293" s="58"/>
      <c r="L293" s="59"/>
      <c r="M293" s="58"/>
      <c r="N293" s="58"/>
      <c r="O293" s="51"/>
      <c r="P293" s="51"/>
      <c r="Q293" s="37"/>
      <c r="R293" s="70"/>
      <c r="S293" s="70"/>
      <c r="T293" s="70"/>
      <c r="U293" s="71"/>
      <c r="V293" s="73"/>
      <c r="W293" s="75"/>
      <c r="X293" s="117"/>
      <c r="Y293" s="111"/>
      <c r="Z293" s="111"/>
      <c r="AH293" s="18"/>
      <c r="AI293" s="18"/>
      <c r="AJ293" s="18"/>
      <c r="AK293" s="18"/>
      <c r="AL293" s="18"/>
      <c r="AM293" s="18"/>
      <c r="AN293" s="18"/>
    </row>
    <row r="294" spans="1:40">
      <c r="A294" s="51"/>
      <c r="B294" s="51"/>
      <c r="C294" s="51"/>
      <c r="D294" s="51"/>
      <c r="E294" s="51"/>
      <c r="F294" s="55"/>
      <c r="G294" s="56"/>
      <c r="H294" s="57"/>
      <c r="I294" s="51"/>
      <c r="J294" s="51"/>
      <c r="K294" s="58"/>
      <c r="L294" s="59"/>
      <c r="M294" s="58"/>
      <c r="N294" s="58"/>
      <c r="O294" s="51"/>
      <c r="P294" s="51"/>
      <c r="Q294" s="37"/>
      <c r="R294" s="70"/>
      <c r="S294" s="70"/>
      <c r="T294" s="70"/>
      <c r="U294" s="71"/>
      <c r="V294" s="73"/>
      <c r="W294" s="75"/>
      <c r="X294" s="117"/>
      <c r="Y294" s="111"/>
      <c r="Z294" s="111"/>
      <c r="AH294" s="18"/>
      <c r="AI294" s="18"/>
      <c r="AJ294" s="18"/>
      <c r="AK294" s="18"/>
      <c r="AL294" s="18"/>
      <c r="AM294" s="18"/>
      <c r="AN294" s="18"/>
    </row>
    <row r="295" spans="1:40">
      <c r="A295" s="51"/>
      <c r="B295" s="51"/>
      <c r="C295" s="51"/>
      <c r="D295" s="51"/>
      <c r="E295" s="51"/>
      <c r="F295" s="55"/>
      <c r="G295" s="56"/>
      <c r="H295" s="57"/>
      <c r="I295" s="51"/>
      <c r="J295" s="51"/>
      <c r="K295" s="58"/>
      <c r="L295" s="59"/>
      <c r="M295" s="58"/>
      <c r="N295" s="58"/>
      <c r="O295" s="51"/>
      <c r="P295" s="51"/>
      <c r="Q295" s="37"/>
      <c r="R295" s="70"/>
      <c r="S295" s="70"/>
      <c r="T295" s="70"/>
      <c r="U295" s="71"/>
      <c r="V295" s="73"/>
      <c r="W295" s="75"/>
      <c r="X295" s="117"/>
      <c r="Y295" s="111"/>
      <c r="Z295" s="111"/>
      <c r="AH295" s="18"/>
      <c r="AI295" s="18"/>
      <c r="AJ295" s="18"/>
      <c r="AK295" s="18"/>
      <c r="AL295" s="18"/>
      <c r="AM295" s="18"/>
      <c r="AN295" s="18"/>
    </row>
    <row r="296" spans="1:40">
      <c r="A296" s="51"/>
      <c r="B296" s="51"/>
      <c r="C296" s="51"/>
      <c r="D296" s="51"/>
      <c r="E296" s="51"/>
      <c r="F296" s="55"/>
      <c r="G296" s="56"/>
      <c r="H296" s="57"/>
      <c r="I296" s="51"/>
      <c r="J296" s="51"/>
      <c r="K296" s="58"/>
      <c r="L296" s="59"/>
      <c r="M296" s="58"/>
      <c r="N296" s="58"/>
      <c r="O296" s="51"/>
      <c r="P296" s="51"/>
      <c r="Q296" s="37"/>
      <c r="R296" s="70"/>
      <c r="S296" s="70"/>
      <c r="T296" s="70"/>
      <c r="U296" s="71"/>
      <c r="V296" s="73"/>
      <c r="W296" s="75"/>
      <c r="X296" s="117"/>
      <c r="Y296" s="111"/>
      <c r="Z296" s="111"/>
      <c r="AH296" s="18"/>
      <c r="AI296" s="18"/>
      <c r="AJ296" s="18"/>
      <c r="AK296" s="18"/>
      <c r="AL296" s="18"/>
      <c r="AM296" s="18"/>
      <c r="AN296" s="18"/>
    </row>
    <row r="297" spans="1:40">
      <c r="A297" s="51"/>
      <c r="B297" s="51"/>
      <c r="C297" s="51"/>
      <c r="D297" s="51"/>
      <c r="E297" s="51"/>
      <c r="F297" s="55"/>
      <c r="G297" s="56"/>
      <c r="H297" s="57"/>
      <c r="I297" s="51"/>
      <c r="J297" s="51"/>
      <c r="K297" s="58"/>
      <c r="L297" s="59"/>
      <c r="M297" s="58"/>
      <c r="N297" s="58"/>
      <c r="O297" s="51"/>
      <c r="P297" s="51"/>
      <c r="Q297" s="37"/>
      <c r="R297" s="70"/>
      <c r="S297" s="70"/>
      <c r="T297" s="70"/>
      <c r="U297" s="71"/>
      <c r="V297" s="73"/>
      <c r="W297" s="75"/>
      <c r="X297" s="117"/>
      <c r="Y297" s="111"/>
      <c r="Z297" s="111"/>
      <c r="AH297" s="18"/>
      <c r="AI297" s="18"/>
      <c r="AJ297" s="18"/>
      <c r="AK297" s="18"/>
      <c r="AL297" s="18"/>
      <c r="AM297" s="18"/>
      <c r="AN297" s="18"/>
    </row>
    <row r="298" spans="1:40">
      <c r="A298" s="51"/>
      <c r="B298" s="51"/>
      <c r="C298" s="51"/>
      <c r="D298" s="51"/>
      <c r="E298" s="51"/>
      <c r="F298" s="55"/>
      <c r="G298" s="56"/>
      <c r="H298" s="57"/>
      <c r="I298" s="51"/>
      <c r="J298" s="51"/>
      <c r="K298" s="58"/>
      <c r="L298" s="59"/>
      <c r="M298" s="58"/>
      <c r="N298" s="58"/>
      <c r="O298" s="51"/>
      <c r="P298" s="51"/>
      <c r="Q298" s="37"/>
      <c r="R298" s="70"/>
      <c r="S298" s="70"/>
      <c r="T298" s="70"/>
      <c r="U298" s="71"/>
      <c r="V298" s="73"/>
      <c r="W298" s="75"/>
      <c r="X298" s="117"/>
      <c r="Y298" s="111"/>
      <c r="Z298" s="111"/>
      <c r="AH298" s="18"/>
      <c r="AI298" s="18"/>
      <c r="AJ298" s="18"/>
      <c r="AK298" s="18"/>
      <c r="AL298" s="18"/>
      <c r="AM298" s="18"/>
      <c r="AN298" s="18"/>
    </row>
    <row r="299" spans="1:40">
      <c r="A299" s="51"/>
      <c r="B299" s="51"/>
      <c r="C299" s="51"/>
      <c r="D299" s="51"/>
      <c r="E299" s="51"/>
      <c r="F299" s="55"/>
      <c r="G299" s="56"/>
      <c r="H299" s="57"/>
      <c r="I299" s="51"/>
      <c r="J299" s="51"/>
      <c r="K299" s="58"/>
      <c r="L299" s="59"/>
      <c r="M299" s="58"/>
      <c r="N299" s="58"/>
      <c r="O299" s="51"/>
      <c r="P299" s="51"/>
      <c r="Q299" s="37"/>
      <c r="R299" s="70"/>
      <c r="S299" s="70"/>
      <c r="T299" s="70"/>
      <c r="U299" s="71"/>
      <c r="V299" s="73"/>
      <c r="W299" s="75"/>
      <c r="X299" s="117"/>
      <c r="Y299" s="111"/>
      <c r="Z299" s="111"/>
      <c r="AH299" s="18"/>
      <c r="AI299" s="18"/>
      <c r="AJ299" s="18"/>
      <c r="AK299" s="18"/>
      <c r="AL299" s="18"/>
      <c r="AM299" s="18"/>
      <c r="AN299" s="18"/>
    </row>
    <row r="300" spans="1:40">
      <c r="A300" s="51"/>
      <c r="B300" s="51"/>
      <c r="C300" s="51"/>
      <c r="D300" s="51"/>
      <c r="E300" s="51"/>
      <c r="F300" s="55"/>
      <c r="G300" s="56"/>
      <c r="H300" s="57"/>
      <c r="I300" s="51"/>
      <c r="J300" s="51"/>
      <c r="K300" s="58"/>
      <c r="L300" s="59"/>
      <c r="M300" s="58"/>
      <c r="N300" s="58"/>
      <c r="O300" s="51"/>
      <c r="P300" s="51"/>
      <c r="Q300" s="37"/>
      <c r="R300" s="70"/>
      <c r="S300" s="70"/>
      <c r="T300" s="70"/>
      <c r="U300" s="71"/>
      <c r="V300" s="73"/>
      <c r="W300" s="75"/>
      <c r="X300" s="117"/>
      <c r="Y300" s="111"/>
      <c r="Z300" s="111"/>
      <c r="AH300" s="18"/>
      <c r="AI300" s="18"/>
      <c r="AJ300" s="18"/>
      <c r="AK300" s="18"/>
      <c r="AL300" s="18"/>
      <c r="AM300" s="18"/>
      <c r="AN300" s="18"/>
    </row>
    <row r="301" spans="1:40">
      <c r="A301" s="51"/>
      <c r="B301" s="51"/>
      <c r="C301" s="51"/>
      <c r="D301" s="51"/>
      <c r="E301" s="51"/>
      <c r="F301" s="55"/>
      <c r="G301" s="56"/>
      <c r="H301" s="57"/>
      <c r="I301" s="51"/>
      <c r="J301" s="51"/>
      <c r="K301" s="58"/>
      <c r="L301" s="59"/>
      <c r="M301" s="58"/>
      <c r="N301" s="58"/>
      <c r="O301" s="51"/>
      <c r="P301" s="51"/>
      <c r="Q301" s="37"/>
      <c r="R301" s="70"/>
      <c r="S301" s="70"/>
      <c r="T301" s="70"/>
      <c r="U301" s="71"/>
      <c r="V301" s="73"/>
      <c r="W301" s="75"/>
      <c r="X301" s="117"/>
      <c r="Y301" s="111"/>
      <c r="Z301" s="111"/>
      <c r="AH301" s="18"/>
      <c r="AI301" s="18"/>
      <c r="AJ301" s="18"/>
      <c r="AK301" s="18"/>
      <c r="AL301" s="18"/>
      <c r="AM301" s="18"/>
      <c r="AN301" s="18"/>
    </row>
    <row r="302" spans="1:40">
      <c r="A302" s="51"/>
      <c r="B302" s="51"/>
      <c r="C302" s="51"/>
      <c r="D302" s="51"/>
      <c r="E302" s="51"/>
      <c r="F302" s="55"/>
      <c r="G302" s="56"/>
      <c r="H302" s="57"/>
      <c r="I302" s="51"/>
      <c r="J302" s="51"/>
      <c r="K302" s="58"/>
      <c r="L302" s="59"/>
      <c r="M302" s="58"/>
      <c r="N302" s="58"/>
      <c r="O302" s="51"/>
      <c r="P302" s="51"/>
      <c r="Q302" s="37"/>
      <c r="R302" s="70"/>
      <c r="S302" s="70"/>
      <c r="T302" s="70"/>
      <c r="U302" s="71"/>
      <c r="V302" s="73"/>
      <c r="W302" s="75"/>
      <c r="X302" s="117"/>
      <c r="Y302" s="111"/>
      <c r="Z302" s="111"/>
      <c r="AH302" s="18"/>
      <c r="AI302" s="18"/>
      <c r="AJ302" s="18"/>
      <c r="AK302" s="18"/>
      <c r="AL302" s="18"/>
      <c r="AM302" s="18"/>
      <c r="AN302" s="18"/>
    </row>
    <row r="303" spans="1:40">
      <c r="A303" s="51"/>
      <c r="B303" s="51"/>
      <c r="C303" s="51"/>
      <c r="D303" s="51"/>
      <c r="E303" s="51"/>
      <c r="F303" s="55"/>
      <c r="G303" s="56"/>
      <c r="H303" s="57"/>
      <c r="I303" s="51"/>
      <c r="J303" s="51"/>
      <c r="K303" s="58"/>
      <c r="L303" s="59"/>
      <c r="M303" s="58"/>
      <c r="N303" s="58"/>
      <c r="O303" s="51"/>
      <c r="P303" s="51"/>
      <c r="Q303" s="37"/>
      <c r="R303" s="70"/>
      <c r="S303" s="70"/>
      <c r="T303" s="70"/>
      <c r="U303" s="71"/>
      <c r="V303" s="73"/>
      <c r="W303" s="75"/>
      <c r="X303" s="117"/>
      <c r="Y303" s="111"/>
      <c r="Z303" s="111"/>
      <c r="AH303" s="18"/>
      <c r="AI303" s="18"/>
      <c r="AJ303" s="18"/>
      <c r="AK303" s="18"/>
      <c r="AL303" s="18"/>
      <c r="AM303" s="18"/>
      <c r="AN303" s="18"/>
    </row>
    <row r="304" spans="1:40">
      <c r="A304" s="51"/>
      <c r="B304" s="51"/>
      <c r="C304" s="51"/>
      <c r="D304" s="51"/>
      <c r="E304" s="51"/>
      <c r="F304" s="55"/>
      <c r="G304" s="56"/>
      <c r="H304" s="57"/>
      <c r="I304" s="51"/>
      <c r="J304" s="51"/>
      <c r="K304" s="58"/>
      <c r="L304" s="59"/>
      <c r="M304" s="58"/>
      <c r="N304" s="58"/>
      <c r="O304" s="51"/>
      <c r="P304" s="51"/>
      <c r="Q304" s="37"/>
      <c r="R304" s="70"/>
      <c r="S304" s="70"/>
      <c r="T304" s="70"/>
      <c r="U304" s="71"/>
      <c r="V304" s="73"/>
      <c r="W304" s="75"/>
      <c r="X304" s="117"/>
      <c r="Y304" s="111"/>
      <c r="Z304" s="111"/>
      <c r="AH304" s="18"/>
      <c r="AI304" s="18"/>
      <c r="AJ304" s="18"/>
      <c r="AK304" s="18"/>
      <c r="AL304" s="18"/>
      <c r="AM304" s="18"/>
      <c r="AN304" s="18"/>
    </row>
    <row r="305" spans="1:40">
      <c r="A305" s="51"/>
      <c r="B305" s="51"/>
      <c r="C305" s="51"/>
      <c r="D305" s="51"/>
      <c r="E305" s="51"/>
      <c r="F305" s="55"/>
      <c r="G305" s="56"/>
      <c r="H305" s="57"/>
      <c r="I305" s="51"/>
      <c r="J305" s="51"/>
      <c r="K305" s="58"/>
      <c r="L305" s="59"/>
      <c r="M305" s="58"/>
      <c r="N305" s="58"/>
      <c r="O305" s="51"/>
      <c r="P305" s="51"/>
      <c r="Q305" s="37"/>
      <c r="R305" s="70"/>
      <c r="S305" s="70"/>
      <c r="T305" s="70"/>
      <c r="U305" s="71"/>
      <c r="V305" s="73"/>
      <c r="W305" s="75"/>
      <c r="X305" s="117"/>
      <c r="Y305" s="111"/>
      <c r="Z305" s="111"/>
      <c r="AH305" s="18"/>
      <c r="AI305" s="18"/>
      <c r="AJ305" s="18"/>
      <c r="AK305" s="18"/>
      <c r="AL305" s="18"/>
      <c r="AM305" s="18"/>
      <c r="AN305" s="18"/>
    </row>
    <row r="306" spans="1:40">
      <c r="A306" s="51"/>
      <c r="B306" s="51"/>
      <c r="C306" s="51"/>
      <c r="D306" s="51"/>
      <c r="E306" s="51"/>
      <c r="F306" s="55"/>
      <c r="G306" s="56"/>
      <c r="H306" s="57"/>
      <c r="I306" s="51"/>
      <c r="J306" s="51"/>
      <c r="K306" s="58"/>
      <c r="L306" s="59"/>
      <c r="M306" s="58"/>
      <c r="N306" s="58"/>
      <c r="O306" s="51"/>
      <c r="P306" s="51"/>
      <c r="Q306" s="37"/>
      <c r="R306" s="70"/>
      <c r="S306" s="70"/>
      <c r="T306" s="70"/>
      <c r="U306" s="71"/>
      <c r="V306" s="73"/>
      <c r="W306" s="75"/>
      <c r="X306" s="117"/>
      <c r="Y306" s="111"/>
      <c r="Z306" s="111"/>
      <c r="AH306" s="18"/>
      <c r="AI306" s="18"/>
      <c r="AJ306" s="18"/>
      <c r="AK306" s="18"/>
      <c r="AL306" s="18"/>
      <c r="AM306" s="18"/>
      <c r="AN306" s="18"/>
    </row>
    <row r="307" spans="1:40">
      <c r="A307" s="51"/>
      <c r="B307" s="51"/>
      <c r="C307" s="51"/>
      <c r="D307" s="51"/>
      <c r="E307" s="51"/>
      <c r="F307" s="55"/>
      <c r="G307" s="56"/>
      <c r="H307" s="57"/>
      <c r="I307" s="51"/>
      <c r="J307" s="51"/>
      <c r="K307" s="58"/>
      <c r="L307" s="59"/>
      <c r="M307" s="58"/>
      <c r="N307" s="58"/>
      <c r="O307" s="51"/>
      <c r="P307" s="51"/>
      <c r="Q307" s="37"/>
      <c r="R307" s="70"/>
      <c r="S307" s="70"/>
      <c r="T307" s="70"/>
      <c r="U307" s="71"/>
      <c r="V307" s="73"/>
      <c r="W307" s="75"/>
      <c r="X307" s="117"/>
      <c r="Y307" s="111"/>
      <c r="Z307" s="111"/>
      <c r="AH307" s="18"/>
      <c r="AI307" s="18"/>
      <c r="AJ307" s="18"/>
      <c r="AK307" s="18"/>
      <c r="AL307" s="18"/>
      <c r="AM307" s="18"/>
      <c r="AN307" s="18"/>
    </row>
    <row r="308" spans="1:40">
      <c r="A308" s="51"/>
      <c r="B308" s="51"/>
      <c r="C308" s="51"/>
      <c r="D308" s="51"/>
      <c r="E308" s="51"/>
      <c r="F308" s="55"/>
      <c r="G308" s="56"/>
      <c r="H308" s="57"/>
      <c r="I308" s="51"/>
      <c r="J308" s="51"/>
      <c r="K308" s="58"/>
      <c r="L308" s="59"/>
      <c r="M308" s="58"/>
      <c r="N308" s="58"/>
      <c r="O308" s="51"/>
      <c r="P308" s="51"/>
      <c r="Q308" s="37"/>
      <c r="R308" s="70"/>
      <c r="S308" s="70"/>
      <c r="T308" s="70"/>
      <c r="U308" s="71"/>
      <c r="V308" s="73"/>
      <c r="W308" s="75"/>
      <c r="X308" s="117"/>
      <c r="Y308" s="111"/>
      <c r="Z308" s="111"/>
      <c r="AH308" s="18"/>
      <c r="AI308" s="18"/>
      <c r="AJ308" s="18"/>
      <c r="AK308" s="18"/>
      <c r="AL308" s="18"/>
      <c r="AM308" s="18"/>
      <c r="AN308" s="18"/>
    </row>
    <row r="309" spans="1:40">
      <c r="A309" s="51"/>
      <c r="B309" s="51"/>
      <c r="C309" s="51"/>
      <c r="D309" s="51"/>
      <c r="E309" s="51"/>
      <c r="F309" s="55"/>
      <c r="G309" s="56"/>
      <c r="H309" s="57"/>
      <c r="I309" s="51"/>
      <c r="J309" s="51"/>
      <c r="K309" s="58"/>
      <c r="L309" s="59"/>
      <c r="M309" s="58"/>
      <c r="N309" s="58"/>
      <c r="O309" s="51"/>
      <c r="P309" s="51"/>
      <c r="Q309" s="37"/>
      <c r="R309" s="70"/>
      <c r="S309" s="70"/>
      <c r="T309" s="70"/>
      <c r="U309" s="71"/>
      <c r="V309" s="73"/>
      <c r="W309" s="75"/>
      <c r="X309" s="117"/>
      <c r="Y309" s="111"/>
      <c r="Z309" s="111"/>
      <c r="AH309" s="18"/>
      <c r="AI309" s="18"/>
      <c r="AJ309" s="18"/>
      <c r="AK309" s="18"/>
      <c r="AL309" s="18"/>
      <c r="AM309" s="18"/>
      <c r="AN309" s="18"/>
    </row>
    <row r="310" spans="1:40">
      <c r="A310" s="51"/>
      <c r="B310" s="51"/>
      <c r="C310" s="51"/>
      <c r="D310" s="51"/>
      <c r="E310" s="51"/>
      <c r="F310" s="55"/>
      <c r="G310" s="56"/>
      <c r="H310" s="57"/>
      <c r="I310" s="51"/>
      <c r="J310" s="51"/>
      <c r="K310" s="58"/>
      <c r="L310" s="59"/>
      <c r="M310" s="58"/>
      <c r="N310" s="58"/>
      <c r="O310" s="51"/>
      <c r="P310" s="51"/>
      <c r="Q310" s="37"/>
      <c r="R310" s="70"/>
      <c r="S310" s="70"/>
      <c r="T310" s="70"/>
      <c r="U310" s="71"/>
      <c r="V310" s="73"/>
      <c r="W310" s="75"/>
      <c r="X310" s="117"/>
      <c r="Y310" s="111"/>
      <c r="Z310" s="111"/>
      <c r="AH310" s="18"/>
      <c r="AI310" s="18"/>
      <c r="AJ310" s="18"/>
      <c r="AK310" s="18"/>
      <c r="AL310" s="18"/>
      <c r="AM310" s="18"/>
      <c r="AN310" s="18"/>
    </row>
    <row r="311" spans="1:40">
      <c r="A311" s="51"/>
      <c r="B311" s="51"/>
      <c r="C311" s="51"/>
      <c r="D311" s="51"/>
      <c r="E311" s="51"/>
      <c r="F311" s="55"/>
      <c r="G311" s="56"/>
      <c r="H311" s="57"/>
      <c r="I311" s="51"/>
      <c r="J311" s="51"/>
      <c r="K311" s="58"/>
      <c r="L311" s="59"/>
      <c r="M311" s="58"/>
      <c r="N311" s="58"/>
      <c r="O311" s="51"/>
      <c r="P311" s="51"/>
      <c r="Q311" s="37"/>
      <c r="R311" s="70"/>
      <c r="S311" s="70"/>
      <c r="T311" s="70"/>
      <c r="U311" s="71"/>
      <c r="V311" s="73"/>
      <c r="W311" s="75"/>
      <c r="X311" s="117"/>
      <c r="Y311" s="111"/>
      <c r="Z311" s="111"/>
      <c r="AH311" s="18"/>
      <c r="AI311" s="18"/>
      <c r="AJ311" s="18"/>
      <c r="AK311" s="18"/>
      <c r="AL311" s="18"/>
      <c r="AM311" s="18"/>
      <c r="AN311" s="18"/>
    </row>
    <row r="312" spans="1:40">
      <c r="A312" s="51"/>
      <c r="B312" s="51"/>
      <c r="C312" s="51"/>
      <c r="D312" s="51"/>
      <c r="E312" s="51"/>
      <c r="F312" s="55"/>
      <c r="G312" s="56"/>
      <c r="H312" s="57"/>
      <c r="I312" s="51"/>
      <c r="J312" s="51"/>
      <c r="K312" s="58"/>
      <c r="L312" s="59"/>
      <c r="M312" s="58"/>
      <c r="N312" s="58"/>
      <c r="O312" s="51"/>
      <c r="P312" s="51"/>
      <c r="Q312" s="37"/>
      <c r="R312" s="70"/>
      <c r="S312" s="70"/>
      <c r="T312" s="70"/>
      <c r="U312" s="71"/>
      <c r="V312" s="73"/>
      <c r="W312" s="75"/>
      <c r="X312" s="117"/>
      <c r="Y312" s="111"/>
      <c r="Z312" s="111"/>
      <c r="AH312" s="18"/>
      <c r="AI312" s="18"/>
      <c r="AJ312" s="18"/>
      <c r="AK312" s="18"/>
      <c r="AL312" s="18"/>
      <c r="AM312" s="18"/>
      <c r="AN312" s="18"/>
    </row>
    <row r="313" spans="1:40">
      <c r="A313" s="51"/>
      <c r="B313" s="51"/>
      <c r="C313" s="51"/>
      <c r="D313" s="51"/>
      <c r="E313" s="51"/>
      <c r="F313" s="55"/>
      <c r="G313" s="56"/>
      <c r="H313" s="57"/>
      <c r="I313" s="51"/>
      <c r="J313" s="51"/>
      <c r="K313" s="58"/>
      <c r="L313" s="59"/>
      <c r="M313" s="58"/>
      <c r="N313" s="58"/>
      <c r="O313" s="51"/>
      <c r="P313" s="51"/>
      <c r="Q313" s="37"/>
      <c r="R313" s="70"/>
      <c r="S313" s="70"/>
      <c r="T313" s="70"/>
      <c r="U313" s="71"/>
      <c r="V313" s="73"/>
      <c r="W313" s="75"/>
      <c r="X313" s="117"/>
      <c r="Y313" s="111"/>
      <c r="Z313" s="111"/>
      <c r="AH313" s="18"/>
      <c r="AI313" s="18"/>
      <c r="AJ313" s="18"/>
      <c r="AK313" s="18"/>
      <c r="AL313" s="18"/>
      <c r="AM313" s="18"/>
      <c r="AN313" s="18"/>
    </row>
    <row r="314" spans="1:40">
      <c r="A314" s="51"/>
      <c r="B314" s="51"/>
      <c r="C314" s="51"/>
      <c r="D314" s="51"/>
      <c r="E314" s="51"/>
      <c r="F314" s="55"/>
      <c r="G314" s="56"/>
      <c r="H314" s="57"/>
      <c r="I314" s="51"/>
      <c r="J314" s="51"/>
      <c r="K314" s="58"/>
      <c r="L314" s="59"/>
      <c r="M314" s="58"/>
      <c r="N314" s="58"/>
      <c r="O314" s="51"/>
      <c r="P314" s="51"/>
      <c r="Q314" s="37"/>
      <c r="R314" s="70"/>
      <c r="S314" s="70"/>
      <c r="T314" s="70"/>
      <c r="U314" s="71"/>
      <c r="V314" s="73"/>
      <c r="W314" s="75"/>
      <c r="X314" s="117"/>
      <c r="Y314" s="111"/>
      <c r="Z314" s="111"/>
      <c r="AH314" s="18"/>
      <c r="AI314" s="18"/>
      <c r="AJ314" s="18"/>
      <c r="AK314" s="18"/>
      <c r="AL314" s="18"/>
      <c r="AM314" s="18"/>
      <c r="AN314" s="18"/>
    </row>
    <row r="315" spans="1:40">
      <c r="A315" s="51"/>
      <c r="B315" s="51"/>
      <c r="C315" s="51"/>
      <c r="D315" s="51"/>
      <c r="E315" s="51"/>
      <c r="F315" s="55"/>
      <c r="G315" s="56"/>
      <c r="H315" s="57"/>
      <c r="I315" s="51"/>
      <c r="J315" s="51"/>
      <c r="K315" s="58"/>
      <c r="L315" s="59"/>
      <c r="M315" s="58"/>
      <c r="N315" s="58"/>
      <c r="O315" s="51"/>
      <c r="P315" s="51"/>
      <c r="Q315" s="37"/>
      <c r="R315" s="70"/>
      <c r="S315" s="70"/>
      <c r="T315" s="70"/>
      <c r="U315" s="71"/>
      <c r="V315" s="73"/>
      <c r="W315" s="75"/>
      <c r="X315" s="117"/>
      <c r="Y315" s="111"/>
      <c r="Z315" s="111"/>
      <c r="AH315" s="18"/>
      <c r="AI315" s="18"/>
      <c r="AJ315" s="18"/>
      <c r="AK315" s="18"/>
      <c r="AL315" s="18"/>
      <c r="AM315" s="18"/>
      <c r="AN315" s="18"/>
    </row>
    <row r="316" spans="1:40">
      <c r="A316" s="51"/>
      <c r="B316" s="51"/>
      <c r="C316" s="51"/>
      <c r="D316" s="51"/>
      <c r="E316" s="51"/>
      <c r="F316" s="55"/>
      <c r="G316" s="56"/>
      <c r="H316" s="57"/>
      <c r="I316" s="51"/>
      <c r="J316" s="51"/>
      <c r="K316" s="58"/>
      <c r="L316" s="59"/>
      <c r="M316" s="58"/>
      <c r="N316" s="58"/>
      <c r="O316" s="51"/>
      <c r="P316" s="51"/>
      <c r="Q316" s="37"/>
      <c r="R316" s="70"/>
      <c r="S316" s="70"/>
      <c r="T316" s="70"/>
      <c r="U316" s="71"/>
      <c r="V316" s="73"/>
      <c r="W316" s="75"/>
      <c r="X316" s="117"/>
      <c r="Y316" s="111"/>
      <c r="Z316" s="111"/>
      <c r="AH316" s="18"/>
      <c r="AI316" s="18"/>
      <c r="AJ316" s="18"/>
      <c r="AK316" s="18"/>
      <c r="AL316" s="18"/>
      <c r="AM316" s="18"/>
      <c r="AN316" s="18"/>
    </row>
    <row r="317" spans="1:40">
      <c r="A317" s="51"/>
      <c r="B317" s="51"/>
      <c r="C317" s="51"/>
      <c r="D317" s="51"/>
      <c r="E317" s="51"/>
      <c r="F317" s="55"/>
      <c r="G317" s="56"/>
      <c r="H317" s="57"/>
      <c r="I317" s="51"/>
      <c r="J317" s="51"/>
      <c r="K317" s="58"/>
      <c r="L317" s="59"/>
      <c r="M317" s="58"/>
      <c r="N317" s="58"/>
      <c r="O317" s="51"/>
      <c r="P317" s="51"/>
      <c r="Q317" s="37"/>
      <c r="R317" s="70"/>
      <c r="S317" s="70"/>
      <c r="T317" s="70"/>
      <c r="U317" s="71"/>
      <c r="V317" s="73"/>
      <c r="W317" s="75"/>
      <c r="X317" s="117"/>
      <c r="Y317" s="111"/>
      <c r="Z317" s="111"/>
      <c r="AH317" s="18"/>
      <c r="AI317" s="18"/>
      <c r="AJ317" s="18"/>
      <c r="AK317" s="18"/>
      <c r="AL317" s="18"/>
      <c r="AM317" s="18"/>
      <c r="AN317" s="18"/>
    </row>
    <row r="318" spans="1:40">
      <c r="A318" s="51"/>
      <c r="B318" s="51"/>
      <c r="C318" s="51"/>
      <c r="D318" s="51"/>
      <c r="E318" s="51"/>
      <c r="F318" s="55"/>
      <c r="G318" s="56"/>
      <c r="H318" s="57"/>
      <c r="I318" s="51"/>
      <c r="J318" s="51"/>
      <c r="K318" s="58"/>
      <c r="L318" s="59"/>
      <c r="M318" s="58"/>
      <c r="N318" s="58"/>
      <c r="O318" s="51"/>
      <c r="P318" s="51"/>
      <c r="Q318" s="37"/>
      <c r="R318" s="70"/>
      <c r="S318" s="70"/>
      <c r="T318" s="70"/>
      <c r="U318" s="71"/>
      <c r="V318" s="73"/>
      <c r="W318" s="75"/>
      <c r="X318" s="117"/>
      <c r="Y318" s="111"/>
      <c r="Z318" s="111"/>
      <c r="AH318" s="18"/>
      <c r="AI318" s="18"/>
      <c r="AJ318" s="18"/>
      <c r="AK318" s="18"/>
      <c r="AL318" s="18"/>
      <c r="AM318" s="18"/>
      <c r="AN318" s="18"/>
    </row>
    <row r="319" spans="1:40">
      <c r="A319" s="51"/>
      <c r="B319" s="51"/>
      <c r="C319" s="51"/>
      <c r="D319" s="51"/>
      <c r="E319" s="51"/>
      <c r="F319" s="55"/>
      <c r="G319" s="56"/>
      <c r="H319" s="57"/>
      <c r="I319" s="51"/>
      <c r="J319" s="51"/>
      <c r="K319" s="58"/>
      <c r="L319" s="59"/>
      <c r="M319" s="58"/>
      <c r="N319" s="58"/>
      <c r="O319" s="51"/>
      <c r="P319" s="51"/>
      <c r="Q319" s="37"/>
      <c r="R319" s="70"/>
      <c r="S319" s="70"/>
      <c r="T319" s="70"/>
      <c r="U319" s="71"/>
      <c r="V319" s="73"/>
      <c r="W319" s="75"/>
      <c r="X319" s="117"/>
      <c r="Y319" s="111"/>
      <c r="Z319" s="111"/>
      <c r="AH319" s="18"/>
      <c r="AI319" s="18"/>
      <c r="AJ319" s="18"/>
      <c r="AK319" s="18"/>
      <c r="AL319" s="18"/>
      <c r="AM319" s="18"/>
      <c r="AN319" s="18"/>
    </row>
    <row r="320" spans="1:40">
      <c r="A320" s="51"/>
      <c r="B320" s="51"/>
      <c r="C320" s="51"/>
      <c r="D320" s="51"/>
      <c r="E320" s="51"/>
      <c r="F320" s="55"/>
      <c r="G320" s="56"/>
      <c r="H320" s="57"/>
      <c r="I320" s="51"/>
      <c r="J320" s="51"/>
      <c r="K320" s="58"/>
      <c r="L320" s="59"/>
      <c r="M320" s="58"/>
      <c r="N320" s="58"/>
      <c r="O320" s="51"/>
      <c r="P320" s="51"/>
      <c r="Q320" s="37"/>
      <c r="R320" s="70"/>
      <c r="S320" s="70"/>
      <c r="T320" s="70"/>
      <c r="U320" s="71"/>
      <c r="V320" s="73"/>
      <c r="W320" s="75"/>
      <c r="X320" s="117"/>
      <c r="Y320" s="111"/>
      <c r="Z320" s="111"/>
      <c r="AH320" s="18"/>
      <c r="AI320" s="18"/>
      <c r="AJ320" s="18"/>
      <c r="AK320" s="18"/>
      <c r="AL320" s="18"/>
      <c r="AM320" s="18"/>
      <c r="AN320" s="18"/>
    </row>
    <row r="321" spans="1:40">
      <c r="A321" s="51"/>
      <c r="B321" s="51"/>
      <c r="C321" s="51"/>
      <c r="D321" s="51"/>
      <c r="E321" s="51"/>
      <c r="F321" s="55"/>
      <c r="G321" s="56"/>
      <c r="H321" s="57"/>
      <c r="I321" s="51"/>
      <c r="J321" s="51"/>
      <c r="K321" s="58"/>
      <c r="L321" s="59"/>
      <c r="M321" s="58"/>
      <c r="N321" s="58"/>
      <c r="O321" s="51"/>
      <c r="P321" s="51"/>
      <c r="Q321" s="37"/>
      <c r="R321" s="70"/>
      <c r="S321" s="70"/>
      <c r="T321" s="70"/>
      <c r="U321" s="71"/>
      <c r="V321" s="73"/>
      <c r="W321" s="75"/>
      <c r="X321" s="117"/>
      <c r="Y321" s="111"/>
      <c r="Z321" s="111"/>
      <c r="AH321" s="18"/>
      <c r="AI321" s="18"/>
      <c r="AJ321" s="18"/>
      <c r="AK321" s="18"/>
      <c r="AL321" s="18"/>
      <c r="AM321" s="18"/>
      <c r="AN321" s="18"/>
    </row>
    <row r="322" spans="1:40">
      <c r="A322" s="51"/>
      <c r="B322" s="51"/>
      <c r="C322" s="51"/>
      <c r="D322" s="51"/>
      <c r="E322" s="51"/>
      <c r="F322" s="55"/>
      <c r="G322" s="56"/>
      <c r="H322" s="57"/>
      <c r="I322" s="51"/>
      <c r="J322" s="51"/>
      <c r="K322" s="58"/>
      <c r="L322" s="59"/>
      <c r="M322" s="58"/>
      <c r="N322" s="58"/>
      <c r="O322" s="51"/>
      <c r="P322" s="51"/>
      <c r="Q322" s="37"/>
      <c r="R322" s="70"/>
      <c r="S322" s="70"/>
      <c r="T322" s="70"/>
      <c r="U322" s="71"/>
      <c r="V322" s="73"/>
      <c r="W322" s="75"/>
      <c r="X322" s="117"/>
      <c r="Y322" s="111"/>
      <c r="Z322" s="111"/>
      <c r="AH322" s="18"/>
      <c r="AI322" s="18"/>
      <c r="AJ322" s="18"/>
      <c r="AK322" s="18"/>
      <c r="AL322" s="18"/>
      <c r="AM322" s="18"/>
      <c r="AN322" s="18"/>
    </row>
    <row r="323" spans="1:40">
      <c r="A323" s="51"/>
      <c r="B323" s="51"/>
      <c r="C323" s="51"/>
      <c r="D323" s="51"/>
      <c r="E323" s="51"/>
      <c r="F323" s="55"/>
      <c r="G323" s="56"/>
      <c r="H323" s="57"/>
      <c r="I323" s="51"/>
      <c r="J323" s="51"/>
      <c r="K323" s="58"/>
      <c r="L323" s="59"/>
      <c r="M323" s="58"/>
      <c r="N323" s="58"/>
      <c r="O323" s="51"/>
      <c r="P323" s="51"/>
      <c r="Q323" s="37"/>
      <c r="R323" s="70"/>
      <c r="S323" s="70"/>
      <c r="T323" s="70"/>
      <c r="U323" s="71"/>
      <c r="V323" s="73"/>
      <c r="W323" s="75"/>
      <c r="X323" s="117"/>
      <c r="Y323" s="111"/>
      <c r="Z323" s="111"/>
      <c r="AH323" s="18"/>
      <c r="AI323" s="18"/>
      <c r="AJ323" s="18"/>
      <c r="AK323" s="18"/>
      <c r="AL323" s="18"/>
      <c r="AM323" s="18"/>
      <c r="AN323" s="18"/>
    </row>
    <row r="324" spans="1:40">
      <c r="A324" s="51"/>
      <c r="B324" s="51"/>
      <c r="C324" s="51"/>
      <c r="D324" s="51"/>
      <c r="E324" s="51"/>
      <c r="F324" s="55"/>
      <c r="G324" s="56"/>
      <c r="H324" s="57"/>
      <c r="I324" s="51"/>
      <c r="J324" s="51"/>
      <c r="K324" s="58"/>
      <c r="L324" s="59"/>
      <c r="M324" s="58"/>
      <c r="N324" s="58"/>
      <c r="O324" s="51"/>
      <c r="P324" s="51"/>
      <c r="Q324" s="37"/>
      <c r="R324" s="70"/>
      <c r="S324" s="70"/>
      <c r="T324" s="70"/>
      <c r="U324" s="71"/>
      <c r="V324" s="73"/>
      <c r="W324" s="75"/>
      <c r="X324" s="117"/>
      <c r="Y324" s="111"/>
      <c r="Z324" s="111"/>
      <c r="AH324" s="18"/>
      <c r="AI324" s="18"/>
      <c r="AJ324" s="18"/>
      <c r="AK324" s="18"/>
      <c r="AL324" s="18"/>
      <c r="AM324" s="18"/>
      <c r="AN324" s="18"/>
    </row>
    <row r="325" spans="1:40">
      <c r="A325" s="51"/>
      <c r="B325" s="51"/>
      <c r="C325" s="51"/>
      <c r="D325" s="51"/>
      <c r="E325" s="51"/>
      <c r="F325" s="55"/>
      <c r="G325" s="56"/>
      <c r="H325" s="57"/>
      <c r="I325" s="51"/>
      <c r="J325" s="51"/>
      <c r="K325" s="58"/>
      <c r="L325" s="59"/>
      <c r="M325" s="58"/>
      <c r="N325" s="58"/>
      <c r="O325" s="51"/>
      <c r="P325" s="51"/>
      <c r="Q325" s="37"/>
      <c r="R325" s="70"/>
      <c r="S325" s="70"/>
      <c r="T325" s="70"/>
      <c r="U325" s="71"/>
      <c r="V325" s="73"/>
      <c r="W325" s="75"/>
      <c r="X325" s="117"/>
      <c r="Y325" s="111"/>
      <c r="Z325" s="111"/>
      <c r="AH325" s="18"/>
      <c r="AI325" s="18"/>
      <c r="AJ325" s="18"/>
      <c r="AK325" s="18"/>
      <c r="AL325" s="18"/>
      <c r="AM325" s="18"/>
      <c r="AN325" s="18"/>
    </row>
    <row r="326" spans="1:40">
      <c r="A326" s="51"/>
      <c r="B326" s="51"/>
      <c r="C326" s="51"/>
      <c r="D326" s="51"/>
      <c r="E326" s="51"/>
      <c r="F326" s="55"/>
      <c r="G326" s="56"/>
      <c r="H326" s="57"/>
      <c r="I326" s="51"/>
      <c r="J326" s="51"/>
      <c r="K326" s="58"/>
      <c r="L326" s="59"/>
      <c r="M326" s="58"/>
      <c r="N326" s="58"/>
      <c r="O326" s="51"/>
      <c r="P326" s="51"/>
      <c r="Q326" s="37"/>
      <c r="R326" s="70"/>
      <c r="S326" s="70"/>
      <c r="T326" s="70"/>
      <c r="U326" s="71"/>
      <c r="V326" s="73"/>
      <c r="W326" s="75"/>
      <c r="X326" s="117"/>
      <c r="Y326" s="111"/>
      <c r="Z326" s="111"/>
      <c r="AH326" s="18"/>
      <c r="AI326" s="18"/>
      <c r="AJ326" s="18"/>
      <c r="AK326" s="18"/>
      <c r="AL326" s="18"/>
      <c r="AM326" s="18"/>
      <c r="AN326" s="18"/>
    </row>
    <row r="327" spans="1:40">
      <c r="A327" s="51"/>
      <c r="B327" s="51"/>
      <c r="C327" s="51"/>
      <c r="D327" s="51"/>
      <c r="E327" s="51"/>
      <c r="F327" s="55"/>
      <c r="G327" s="56"/>
      <c r="H327" s="57"/>
      <c r="I327" s="51"/>
      <c r="J327" s="51"/>
      <c r="K327" s="58"/>
      <c r="L327" s="59"/>
      <c r="M327" s="58"/>
      <c r="N327" s="58"/>
      <c r="O327" s="51"/>
      <c r="P327" s="51"/>
      <c r="Q327" s="37"/>
      <c r="R327" s="70"/>
      <c r="S327" s="70"/>
      <c r="T327" s="70"/>
      <c r="U327" s="71"/>
      <c r="V327" s="73"/>
      <c r="W327" s="75"/>
      <c r="X327" s="117"/>
      <c r="Y327" s="111"/>
      <c r="Z327" s="111"/>
      <c r="AH327" s="18"/>
      <c r="AI327" s="18"/>
      <c r="AJ327" s="18"/>
      <c r="AK327" s="18"/>
      <c r="AL327" s="18"/>
      <c r="AM327" s="18"/>
      <c r="AN327" s="18"/>
    </row>
    <row r="328" spans="1:40">
      <c r="A328" s="51"/>
      <c r="B328" s="51"/>
      <c r="C328" s="51"/>
      <c r="D328" s="51"/>
      <c r="E328" s="51"/>
      <c r="F328" s="55"/>
      <c r="G328" s="56"/>
      <c r="H328" s="57"/>
      <c r="I328" s="51"/>
      <c r="J328" s="51"/>
      <c r="K328" s="58"/>
      <c r="L328" s="59"/>
      <c r="M328" s="58"/>
      <c r="N328" s="58"/>
      <c r="O328" s="51"/>
      <c r="P328" s="51"/>
      <c r="Q328" s="37"/>
      <c r="R328" s="70"/>
      <c r="S328" s="70"/>
      <c r="T328" s="70"/>
      <c r="U328" s="71"/>
      <c r="V328" s="73"/>
      <c r="W328" s="75"/>
      <c r="X328" s="117"/>
      <c r="Y328" s="111"/>
      <c r="Z328" s="111"/>
      <c r="AH328" s="18"/>
      <c r="AI328" s="18"/>
      <c r="AJ328" s="18"/>
      <c r="AK328" s="18"/>
      <c r="AL328" s="18"/>
      <c r="AM328" s="18"/>
      <c r="AN328" s="18"/>
    </row>
    <row r="329" spans="1:40">
      <c r="A329" s="51"/>
      <c r="B329" s="51"/>
      <c r="C329" s="51"/>
      <c r="D329" s="51"/>
      <c r="E329" s="51"/>
      <c r="F329" s="55"/>
      <c r="G329" s="56"/>
      <c r="H329" s="57"/>
      <c r="I329" s="51"/>
      <c r="J329" s="51"/>
      <c r="K329" s="58"/>
      <c r="L329" s="59"/>
      <c r="M329" s="58"/>
      <c r="N329" s="58"/>
      <c r="O329" s="51"/>
      <c r="P329" s="51"/>
      <c r="Q329" s="37"/>
      <c r="R329" s="70"/>
      <c r="S329" s="70"/>
      <c r="T329" s="70"/>
      <c r="U329" s="71"/>
      <c r="V329" s="73"/>
      <c r="W329" s="75"/>
      <c r="X329" s="117"/>
      <c r="Y329" s="111"/>
      <c r="Z329" s="111"/>
      <c r="AH329" s="18"/>
      <c r="AI329" s="18"/>
      <c r="AJ329" s="18"/>
      <c r="AK329" s="18"/>
      <c r="AL329" s="18"/>
      <c r="AM329" s="18"/>
      <c r="AN329" s="18"/>
    </row>
    <row r="330" spans="1:40">
      <c r="A330" s="51"/>
      <c r="B330" s="51"/>
      <c r="C330" s="51"/>
      <c r="D330" s="51"/>
      <c r="E330" s="51"/>
      <c r="F330" s="55"/>
      <c r="G330" s="56"/>
      <c r="H330" s="57"/>
      <c r="I330" s="51"/>
      <c r="J330" s="51"/>
      <c r="K330" s="58"/>
      <c r="L330" s="59"/>
      <c r="M330" s="58"/>
      <c r="N330" s="58"/>
      <c r="O330" s="51"/>
      <c r="P330" s="51"/>
      <c r="Q330" s="37"/>
      <c r="R330" s="70"/>
      <c r="S330" s="70"/>
      <c r="T330" s="70"/>
      <c r="U330" s="71"/>
      <c r="V330" s="73"/>
      <c r="W330" s="75"/>
      <c r="X330" s="117"/>
      <c r="Y330" s="111"/>
      <c r="Z330" s="111"/>
      <c r="AH330" s="18"/>
      <c r="AI330" s="18"/>
      <c r="AJ330" s="18"/>
      <c r="AK330" s="18"/>
      <c r="AL330" s="18"/>
      <c r="AM330" s="18"/>
      <c r="AN330" s="18"/>
    </row>
    <row r="331" spans="1:40">
      <c r="A331" s="51"/>
      <c r="B331" s="51"/>
      <c r="C331" s="51"/>
      <c r="D331" s="51"/>
      <c r="E331" s="51"/>
      <c r="F331" s="55"/>
      <c r="G331" s="56"/>
      <c r="H331" s="57"/>
      <c r="I331" s="51"/>
      <c r="J331" s="51"/>
      <c r="K331" s="58"/>
      <c r="L331" s="59"/>
      <c r="M331" s="58"/>
      <c r="N331" s="58"/>
      <c r="O331" s="51"/>
      <c r="P331" s="51"/>
      <c r="Q331" s="37"/>
      <c r="R331" s="70"/>
      <c r="S331" s="70"/>
      <c r="T331" s="70"/>
      <c r="U331" s="71"/>
      <c r="V331" s="73"/>
      <c r="W331" s="75"/>
      <c r="X331" s="117"/>
      <c r="Y331" s="111"/>
      <c r="Z331" s="111"/>
      <c r="AH331" s="18"/>
      <c r="AI331" s="18"/>
      <c r="AJ331" s="18"/>
      <c r="AK331" s="18"/>
      <c r="AL331" s="18"/>
      <c r="AM331" s="18"/>
      <c r="AN331" s="18"/>
    </row>
    <row r="332" spans="1:40">
      <c r="A332" s="51"/>
      <c r="B332" s="51"/>
      <c r="C332" s="51"/>
      <c r="D332" s="51"/>
      <c r="E332" s="51"/>
      <c r="F332" s="55"/>
      <c r="G332" s="56"/>
      <c r="H332" s="57"/>
      <c r="I332" s="51"/>
      <c r="J332" s="51"/>
      <c r="K332" s="58"/>
      <c r="L332" s="59"/>
      <c r="M332" s="58"/>
      <c r="N332" s="58"/>
      <c r="O332" s="51"/>
      <c r="P332" s="51"/>
      <c r="Q332" s="37"/>
      <c r="R332" s="70"/>
      <c r="S332" s="70"/>
      <c r="T332" s="70"/>
      <c r="U332" s="71"/>
      <c r="V332" s="73"/>
      <c r="W332" s="75"/>
      <c r="X332" s="117"/>
      <c r="Y332" s="111"/>
      <c r="Z332" s="111"/>
      <c r="AH332" s="18"/>
      <c r="AI332" s="18"/>
      <c r="AJ332" s="18"/>
      <c r="AK332" s="18"/>
      <c r="AL332" s="18"/>
      <c r="AM332" s="18"/>
      <c r="AN332" s="18"/>
    </row>
    <row r="333" spans="1:40">
      <c r="A333" s="51"/>
      <c r="B333" s="51"/>
      <c r="C333" s="51"/>
      <c r="D333" s="51"/>
      <c r="E333" s="51"/>
      <c r="F333" s="55"/>
      <c r="G333" s="56"/>
      <c r="H333" s="57"/>
      <c r="I333" s="51"/>
      <c r="J333" s="51"/>
      <c r="K333" s="58"/>
      <c r="L333" s="59"/>
      <c r="M333" s="58"/>
      <c r="N333" s="58"/>
      <c r="O333" s="51"/>
      <c r="P333" s="51"/>
      <c r="Q333" s="37"/>
      <c r="R333" s="70"/>
      <c r="S333" s="70"/>
      <c r="T333" s="70"/>
      <c r="U333" s="71"/>
      <c r="V333" s="73"/>
      <c r="W333" s="75"/>
      <c r="X333" s="117"/>
      <c r="Y333" s="111"/>
      <c r="Z333" s="111"/>
      <c r="AH333" s="18"/>
      <c r="AI333" s="18"/>
      <c r="AJ333" s="18"/>
      <c r="AK333" s="18"/>
      <c r="AL333" s="18"/>
      <c r="AM333" s="18"/>
      <c r="AN333" s="18"/>
    </row>
    <row r="334" spans="1:40">
      <c r="A334" s="51"/>
      <c r="B334" s="51"/>
      <c r="C334" s="51"/>
      <c r="D334" s="51"/>
      <c r="E334" s="51"/>
      <c r="F334" s="55"/>
      <c r="G334" s="56"/>
      <c r="H334" s="57"/>
      <c r="I334" s="51"/>
      <c r="J334" s="51"/>
      <c r="K334" s="58"/>
      <c r="L334" s="59"/>
      <c r="M334" s="58"/>
      <c r="N334" s="58"/>
      <c r="O334" s="51"/>
      <c r="P334" s="51"/>
      <c r="Q334" s="37"/>
      <c r="R334" s="70"/>
      <c r="S334" s="70"/>
      <c r="T334" s="70"/>
      <c r="U334" s="71"/>
      <c r="V334" s="73"/>
      <c r="W334" s="75"/>
      <c r="X334" s="117"/>
      <c r="Y334" s="111"/>
      <c r="Z334" s="111"/>
      <c r="AH334" s="18"/>
      <c r="AI334" s="18"/>
      <c r="AJ334" s="18"/>
      <c r="AK334" s="18"/>
      <c r="AL334" s="18"/>
      <c r="AM334" s="18"/>
      <c r="AN334" s="18"/>
    </row>
    <row r="335" spans="1:40">
      <c r="A335" s="51"/>
      <c r="B335" s="51"/>
      <c r="C335" s="51"/>
      <c r="D335" s="51"/>
      <c r="E335" s="51"/>
      <c r="F335" s="55"/>
      <c r="G335" s="56"/>
      <c r="H335" s="57"/>
      <c r="I335" s="51"/>
      <c r="J335" s="51"/>
      <c r="K335" s="58"/>
      <c r="L335" s="59"/>
      <c r="M335" s="58"/>
      <c r="N335" s="58"/>
      <c r="O335" s="51"/>
      <c r="P335" s="51"/>
      <c r="Q335" s="37"/>
      <c r="R335" s="70"/>
      <c r="S335" s="70"/>
      <c r="T335" s="70"/>
      <c r="U335" s="71"/>
      <c r="V335" s="73"/>
      <c r="W335" s="75"/>
      <c r="X335" s="117"/>
      <c r="Y335" s="111"/>
      <c r="Z335" s="111"/>
      <c r="AH335" s="18"/>
      <c r="AI335" s="18"/>
      <c r="AJ335" s="18"/>
      <c r="AK335" s="18"/>
      <c r="AL335" s="18"/>
      <c r="AM335" s="18"/>
      <c r="AN335" s="18"/>
    </row>
    <row r="336" spans="1:40">
      <c r="A336" s="51"/>
      <c r="B336" s="51"/>
      <c r="C336" s="51"/>
      <c r="D336" s="51"/>
      <c r="E336" s="51"/>
      <c r="F336" s="55"/>
      <c r="G336" s="56"/>
      <c r="H336" s="57"/>
      <c r="I336" s="51"/>
      <c r="J336" s="51"/>
      <c r="K336" s="58"/>
      <c r="L336" s="59"/>
      <c r="M336" s="58"/>
      <c r="N336" s="58"/>
      <c r="O336" s="51"/>
      <c r="P336" s="51"/>
      <c r="Q336" s="37"/>
      <c r="R336" s="70"/>
      <c r="S336" s="70"/>
      <c r="T336" s="70"/>
      <c r="U336" s="71"/>
      <c r="V336" s="73"/>
      <c r="W336" s="75"/>
      <c r="X336" s="117"/>
      <c r="Y336" s="111"/>
      <c r="Z336" s="111"/>
      <c r="AH336" s="18"/>
      <c r="AI336" s="18"/>
      <c r="AJ336" s="18"/>
      <c r="AK336" s="18"/>
      <c r="AL336" s="18"/>
      <c r="AM336" s="18"/>
      <c r="AN336" s="18"/>
    </row>
    <row r="337" spans="1:40">
      <c r="A337" s="51"/>
      <c r="B337" s="51"/>
      <c r="C337" s="51"/>
      <c r="D337" s="51"/>
      <c r="E337" s="51"/>
      <c r="F337" s="55"/>
      <c r="G337" s="56"/>
      <c r="H337" s="57"/>
      <c r="I337" s="51"/>
      <c r="J337" s="51"/>
      <c r="K337" s="58"/>
      <c r="L337" s="59"/>
      <c r="M337" s="58"/>
      <c r="N337" s="58"/>
      <c r="O337" s="51"/>
      <c r="P337" s="51"/>
      <c r="Q337" s="37"/>
      <c r="R337" s="70"/>
      <c r="S337" s="70"/>
      <c r="T337" s="70"/>
      <c r="U337" s="71"/>
      <c r="V337" s="73"/>
      <c r="W337" s="75"/>
      <c r="X337" s="117"/>
      <c r="Y337" s="111"/>
      <c r="Z337" s="111"/>
      <c r="AH337" s="18"/>
      <c r="AI337" s="18"/>
      <c r="AJ337" s="18"/>
      <c r="AK337" s="18"/>
      <c r="AL337" s="18"/>
      <c r="AM337" s="18"/>
      <c r="AN337" s="18"/>
    </row>
    <row r="338" spans="1:40">
      <c r="A338" s="51"/>
      <c r="B338" s="51"/>
      <c r="C338" s="51"/>
      <c r="D338" s="51"/>
      <c r="E338" s="51"/>
      <c r="F338" s="55"/>
      <c r="G338" s="56"/>
      <c r="H338" s="57"/>
      <c r="I338" s="51"/>
      <c r="J338" s="51"/>
      <c r="K338" s="58"/>
      <c r="L338" s="59"/>
      <c r="M338" s="58"/>
      <c r="N338" s="58"/>
      <c r="O338" s="51"/>
      <c r="P338" s="51"/>
      <c r="Q338" s="37"/>
      <c r="R338" s="70"/>
      <c r="S338" s="70"/>
      <c r="T338" s="70"/>
      <c r="U338" s="71"/>
      <c r="V338" s="73"/>
      <c r="W338" s="75"/>
      <c r="X338" s="117"/>
      <c r="Y338" s="111"/>
      <c r="Z338" s="111"/>
      <c r="AH338" s="18"/>
      <c r="AI338" s="18"/>
      <c r="AJ338" s="18"/>
      <c r="AK338" s="18"/>
      <c r="AL338" s="18"/>
      <c r="AM338" s="18"/>
      <c r="AN338" s="18"/>
    </row>
    <row r="339" spans="1:40">
      <c r="A339" s="51"/>
      <c r="B339" s="51"/>
      <c r="C339" s="51"/>
      <c r="D339" s="51"/>
      <c r="E339" s="51"/>
      <c r="F339" s="55"/>
      <c r="G339" s="56"/>
      <c r="H339" s="57"/>
      <c r="I339" s="51"/>
      <c r="J339" s="51"/>
      <c r="K339" s="58"/>
      <c r="L339" s="59"/>
      <c r="M339" s="58"/>
      <c r="N339" s="58"/>
      <c r="O339" s="51"/>
      <c r="P339" s="51"/>
      <c r="Q339" s="37"/>
      <c r="R339" s="70"/>
      <c r="S339" s="70"/>
      <c r="T339" s="70"/>
      <c r="U339" s="71"/>
      <c r="V339" s="73"/>
      <c r="W339" s="75"/>
      <c r="X339" s="117"/>
      <c r="Y339" s="111"/>
      <c r="Z339" s="111"/>
      <c r="AH339" s="18"/>
      <c r="AI339" s="18"/>
      <c r="AJ339" s="18"/>
      <c r="AK339" s="18"/>
      <c r="AL339" s="18"/>
      <c r="AM339" s="18"/>
      <c r="AN339" s="18"/>
    </row>
    <row r="340" spans="1:40">
      <c r="A340" s="51"/>
      <c r="B340" s="51"/>
      <c r="C340" s="51"/>
      <c r="D340" s="51"/>
      <c r="E340" s="51"/>
      <c r="F340" s="55"/>
      <c r="G340" s="56"/>
      <c r="H340" s="57"/>
      <c r="I340" s="51"/>
      <c r="J340" s="51"/>
      <c r="K340" s="58"/>
      <c r="L340" s="59"/>
      <c r="M340" s="58"/>
      <c r="N340" s="58"/>
      <c r="O340" s="51"/>
      <c r="P340" s="51"/>
      <c r="Q340" s="37"/>
      <c r="R340" s="70"/>
      <c r="S340" s="70"/>
      <c r="T340" s="70"/>
      <c r="U340" s="71"/>
      <c r="V340" s="73"/>
      <c r="W340" s="75"/>
      <c r="X340" s="117"/>
      <c r="Y340" s="111"/>
      <c r="Z340" s="111"/>
      <c r="AH340" s="18"/>
      <c r="AI340" s="18"/>
      <c r="AJ340" s="18"/>
      <c r="AK340" s="18"/>
      <c r="AL340" s="18"/>
      <c r="AM340" s="18"/>
      <c r="AN340" s="18"/>
    </row>
    <row r="341" spans="1:40">
      <c r="A341" s="51"/>
      <c r="B341" s="51"/>
      <c r="C341" s="51"/>
      <c r="D341" s="51"/>
      <c r="E341" s="51"/>
      <c r="F341" s="55"/>
      <c r="G341" s="56"/>
      <c r="H341" s="57"/>
      <c r="I341" s="51"/>
      <c r="J341" s="51"/>
      <c r="K341" s="58"/>
      <c r="L341" s="59"/>
      <c r="M341" s="58"/>
      <c r="N341" s="58"/>
      <c r="O341" s="51"/>
      <c r="P341" s="51"/>
      <c r="Q341" s="37"/>
      <c r="R341" s="70"/>
      <c r="S341" s="70"/>
      <c r="T341" s="70"/>
      <c r="U341" s="71"/>
      <c r="V341" s="73"/>
      <c r="W341" s="75"/>
      <c r="X341" s="117"/>
      <c r="Y341" s="111"/>
      <c r="Z341" s="111"/>
      <c r="AH341" s="18"/>
      <c r="AI341" s="18"/>
      <c r="AJ341" s="18"/>
      <c r="AK341" s="18"/>
      <c r="AL341" s="18"/>
      <c r="AM341" s="18"/>
      <c r="AN341" s="18"/>
    </row>
    <row r="342" spans="1:40">
      <c r="A342" s="51"/>
      <c r="B342" s="51"/>
      <c r="C342" s="51"/>
      <c r="D342" s="51"/>
      <c r="E342" s="51"/>
      <c r="F342" s="55"/>
      <c r="G342" s="56"/>
      <c r="H342" s="57"/>
      <c r="I342" s="51"/>
      <c r="J342" s="51"/>
      <c r="K342" s="58"/>
      <c r="L342" s="59"/>
      <c r="M342" s="58"/>
      <c r="N342" s="58"/>
      <c r="O342" s="51"/>
      <c r="P342" s="51"/>
      <c r="Q342" s="37"/>
      <c r="R342" s="70"/>
      <c r="S342" s="70"/>
      <c r="T342" s="70"/>
      <c r="U342" s="71"/>
      <c r="V342" s="73"/>
      <c r="W342" s="75"/>
      <c r="X342" s="117"/>
      <c r="Y342" s="111"/>
      <c r="Z342" s="111"/>
      <c r="AH342" s="18"/>
      <c r="AI342" s="18"/>
      <c r="AJ342" s="18"/>
      <c r="AK342" s="18"/>
      <c r="AL342" s="18"/>
      <c r="AM342" s="18"/>
      <c r="AN342" s="18"/>
    </row>
    <row r="343" spans="1:40">
      <c r="A343" s="51"/>
      <c r="B343" s="51"/>
      <c r="C343" s="51"/>
      <c r="D343" s="51"/>
      <c r="E343" s="51"/>
      <c r="F343" s="55"/>
      <c r="G343" s="56"/>
      <c r="H343" s="57"/>
      <c r="I343" s="51"/>
      <c r="J343" s="51"/>
      <c r="K343" s="58"/>
      <c r="L343" s="59"/>
      <c r="M343" s="58"/>
      <c r="N343" s="58"/>
      <c r="O343" s="51"/>
      <c r="P343" s="51"/>
      <c r="Q343" s="37"/>
      <c r="R343" s="70"/>
      <c r="S343" s="70"/>
      <c r="T343" s="70"/>
      <c r="U343" s="71"/>
      <c r="V343" s="73"/>
      <c r="W343" s="75"/>
      <c r="X343" s="117"/>
      <c r="Y343" s="111"/>
      <c r="Z343" s="111"/>
      <c r="AH343" s="18"/>
      <c r="AI343" s="18"/>
      <c r="AJ343" s="18"/>
      <c r="AK343" s="18"/>
      <c r="AL343" s="18"/>
      <c r="AM343" s="18"/>
      <c r="AN343" s="18"/>
    </row>
    <row r="344" spans="1:40">
      <c r="A344" s="51"/>
      <c r="B344" s="51"/>
      <c r="C344" s="51"/>
      <c r="D344" s="51"/>
      <c r="E344" s="51"/>
      <c r="F344" s="55"/>
      <c r="G344" s="56"/>
      <c r="H344" s="57"/>
      <c r="I344" s="51"/>
      <c r="J344" s="51"/>
      <c r="K344" s="58"/>
      <c r="L344" s="59"/>
      <c r="M344" s="58"/>
      <c r="N344" s="58"/>
      <c r="O344" s="51"/>
      <c r="P344" s="51"/>
      <c r="Q344" s="37"/>
      <c r="R344" s="70"/>
      <c r="S344" s="70"/>
      <c r="T344" s="70"/>
      <c r="U344" s="71"/>
      <c r="V344" s="73"/>
      <c r="W344" s="75"/>
      <c r="X344" s="117"/>
      <c r="Y344" s="111"/>
      <c r="Z344" s="111"/>
      <c r="AH344" s="18"/>
      <c r="AI344" s="18"/>
      <c r="AJ344" s="18"/>
      <c r="AK344" s="18"/>
      <c r="AL344" s="18"/>
      <c r="AM344" s="18"/>
      <c r="AN344" s="18"/>
    </row>
    <row r="345" spans="1:40">
      <c r="A345" s="51"/>
      <c r="B345" s="51"/>
      <c r="C345" s="51"/>
      <c r="D345" s="51"/>
      <c r="E345" s="51"/>
      <c r="F345" s="55"/>
      <c r="G345" s="56"/>
      <c r="H345" s="57"/>
      <c r="I345" s="51"/>
      <c r="J345" s="51"/>
      <c r="K345" s="58"/>
      <c r="L345" s="59"/>
      <c r="M345" s="58"/>
      <c r="N345" s="58"/>
      <c r="O345" s="51"/>
      <c r="P345" s="51"/>
      <c r="Q345" s="37"/>
      <c r="R345" s="70"/>
      <c r="S345" s="70"/>
      <c r="T345" s="70"/>
      <c r="U345" s="71"/>
      <c r="V345" s="73"/>
      <c r="W345" s="75"/>
      <c r="X345" s="117"/>
      <c r="Y345" s="111"/>
      <c r="Z345" s="111"/>
      <c r="AH345" s="18"/>
      <c r="AI345" s="18"/>
      <c r="AJ345" s="18"/>
      <c r="AK345" s="18"/>
      <c r="AL345" s="18"/>
      <c r="AM345" s="18"/>
      <c r="AN345" s="18"/>
    </row>
    <row r="346" spans="1:40">
      <c r="A346" s="51"/>
      <c r="B346" s="51"/>
      <c r="C346" s="51"/>
      <c r="D346" s="51"/>
      <c r="E346" s="51"/>
      <c r="F346" s="55"/>
      <c r="G346" s="56"/>
      <c r="H346" s="57"/>
      <c r="I346" s="51"/>
      <c r="J346" s="51"/>
      <c r="K346" s="58"/>
      <c r="L346" s="59"/>
      <c r="M346" s="58"/>
      <c r="N346" s="58"/>
      <c r="O346" s="51"/>
      <c r="P346" s="51"/>
      <c r="Q346" s="37"/>
      <c r="R346" s="70"/>
      <c r="S346" s="70"/>
      <c r="T346" s="70"/>
      <c r="U346" s="71"/>
      <c r="V346" s="73"/>
      <c r="W346" s="75"/>
      <c r="X346" s="117"/>
      <c r="Y346" s="111"/>
      <c r="Z346" s="111"/>
      <c r="AH346" s="18"/>
      <c r="AI346" s="18"/>
      <c r="AJ346" s="18"/>
      <c r="AK346" s="18"/>
      <c r="AL346" s="18"/>
      <c r="AM346" s="18"/>
      <c r="AN346" s="18"/>
    </row>
    <row r="347" spans="1:40">
      <c r="A347" s="51"/>
      <c r="B347" s="51"/>
      <c r="C347" s="51"/>
      <c r="D347" s="51"/>
      <c r="E347" s="51"/>
      <c r="F347" s="55"/>
      <c r="G347" s="56"/>
      <c r="H347" s="57"/>
      <c r="I347" s="51"/>
      <c r="J347" s="51"/>
      <c r="K347" s="58"/>
      <c r="L347" s="59"/>
      <c r="M347" s="58"/>
      <c r="N347" s="58"/>
      <c r="O347" s="51"/>
      <c r="P347" s="51"/>
      <c r="Q347" s="37"/>
      <c r="R347" s="70"/>
      <c r="S347" s="70"/>
      <c r="T347" s="70"/>
      <c r="U347" s="71"/>
      <c r="V347" s="73"/>
      <c r="W347" s="75"/>
      <c r="X347" s="117"/>
      <c r="Y347" s="111"/>
      <c r="Z347" s="111"/>
      <c r="AH347" s="18"/>
      <c r="AI347" s="18"/>
      <c r="AJ347" s="18"/>
      <c r="AK347" s="18"/>
      <c r="AL347" s="18"/>
      <c r="AM347" s="18"/>
      <c r="AN347" s="18"/>
    </row>
    <row r="348" spans="1:40">
      <c r="A348" s="51"/>
      <c r="B348" s="51"/>
      <c r="C348" s="51"/>
      <c r="D348" s="51"/>
      <c r="E348" s="51"/>
      <c r="F348" s="55"/>
      <c r="G348" s="56"/>
      <c r="H348" s="57"/>
      <c r="I348" s="51"/>
      <c r="J348" s="51"/>
      <c r="K348" s="58"/>
      <c r="L348" s="59"/>
      <c r="M348" s="58"/>
      <c r="N348" s="58"/>
      <c r="O348" s="51"/>
      <c r="P348" s="51"/>
      <c r="Q348" s="37"/>
      <c r="R348" s="70"/>
      <c r="S348" s="70"/>
      <c r="T348" s="70"/>
      <c r="U348" s="71"/>
      <c r="V348" s="73"/>
      <c r="W348" s="75"/>
      <c r="X348" s="117"/>
      <c r="Y348" s="111"/>
      <c r="Z348" s="111"/>
      <c r="AH348" s="18"/>
      <c r="AI348" s="18"/>
      <c r="AJ348" s="18"/>
      <c r="AK348" s="18"/>
      <c r="AL348" s="18"/>
      <c r="AM348" s="18"/>
      <c r="AN348" s="18"/>
    </row>
    <row r="349" spans="1:40">
      <c r="A349" s="51"/>
      <c r="B349" s="51"/>
      <c r="C349" s="51"/>
      <c r="D349" s="51"/>
      <c r="E349" s="51"/>
      <c r="F349" s="55"/>
      <c r="G349" s="56"/>
      <c r="H349" s="57"/>
      <c r="I349" s="51"/>
      <c r="J349" s="51"/>
      <c r="K349" s="58"/>
      <c r="L349" s="59"/>
      <c r="M349" s="58"/>
      <c r="N349" s="58"/>
      <c r="O349" s="51"/>
      <c r="P349" s="51"/>
      <c r="Q349" s="37"/>
      <c r="R349" s="70"/>
      <c r="S349" s="70"/>
      <c r="T349" s="70"/>
      <c r="U349" s="71"/>
      <c r="V349" s="73"/>
      <c r="W349" s="75"/>
      <c r="X349" s="117"/>
      <c r="Y349" s="111"/>
      <c r="Z349" s="111"/>
      <c r="AH349" s="18"/>
      <c r="AI349" s="18"/>
      <c r="AJ349" s="18"/>
      <c r="AK349" s="18"/>
      <c r="AL349" s="18"/>
      <c r="AM349" s="18"/>
      <c r="AN349" s="18"/>
    </row>
    <row r="350" spans="1:40">
      <c r="A350" s="51"/>
      <c r="B350" s="51"/>
      <c r="C350" s="51"/>
      <c r="D350" s="51"/>
      <c r="E350" s="51"/>
      <c r="F350" s="55"/>
      <c r="G350" s="56"/>
      <c r="H350" s="57"/>
      <c r="I350" s="51"/>
      <c r="J350" s="51"/>
      <c r="K350" s="58"/>
      <c r="L350" s="59"/>
      <c r="M350" s="58"/>
      <c r="N350" s="58"/>
      <c r="O350" s="51"/>
      <c r="P350" s="51"/>
      <c r="Q350" s="37"/>
      <c r="R350" s="70"/>
      <c r="S350" s="70"/>
      <c r="T350" s="70"/>
      <c r="U350" s="71"/>
      <c r="V350" s="73"/>
      <c r="W350" s="75"/>
      <c r="X350" s="117"/>
      <c r="Y350" s="111"/>
      <c r="Z350" s="111"/>
      <c r="AH350" s="18"/>
      <c r="AI350" s="18"/>
      <c r="AJ350" s="18"/>
      <c r="AK350" s="18"/>
      <c r="AL350" s="18"/>
      <c r="AM350" s="18"/>
      <c r="AN350" s="18"/>
    </row>
    <row r="351" spans="1:40">
      <c r="A351" s="51"/>
      <c r="B351" s="51"/>
      <c r="C351" s="51"/>
      <c r="D351" s="51"/>
      <c r="E351" s="51"/>
      <c r="F351" s="55"/>
      <c r="G351" s="56"/>
      <c r="H351" s="57"/>
      <c r="I351" s="51"/>
      <c r="J351" s="51"/>
      <c r="K351" s="58"/>
      <c r="L351" s="59"/>
      <c r="M351" s="58"/>
      <c r="N351" s="58"/>
      <c r="O351" s="51"/>
      <c r="P351" s="51"/>
      <c r="Q351" s="37"/>
      <c r="R351" s="70"/>
      <c r="S351" s="70"/>
      <c r="T351" s="70"/>
      <c r="U351" s="71"/>
      <c r="V351" s="73"/>
      <c r="W351" s="75"/>
      <c r="X351" s="117"/>
      <c r="Y351" s="111"/>
      <c r="Z351" s="111"/>
      <c r="AH351" s="18"/>
      <c r="AI351" s="18"/>
      <c r="AJ351" s="18"/>
      <c r="AK351" s="18"/>
      <c r="AL351" s="18"/>
      <c r="AM351" s="18"/>
      <c r="AN351" s="18"/>
    </row>
    <row r="352" spans="1:40">
      <c r="A352" s="51"/>
      <c r="B352" s="51"/>
      <c r="C352" s="51"/>
      <c r="D352" s="51"/>
      <c r="E352" s="51"/>
      <c r="F352" s="55"/>
      <c r="G352" s="56"/>
      <c r="H352" s="57"/>
      <c r="I352" s="51"/>
      <c r="J352" s="51"/>
      <c r="K352" s="58"/>
      <c r="L352" s="59"/>
      <c r="M352" s="58"/>
      <c r="N352" s="58"/>
      <c r="O352" s="51"/>
      <c r="P352" s="51"/>
      <c r="Q352" s="37"/>
      <c r="R352" s="70"/>
      <c r="S352" s="70"/>
      <c r="T352" s="70"/>
      <c r="U352" s="71"/>
      <c r="V352" s="73"/>
      <c r="W352" s="75"/>
      <c r="X352" s="117"/>
      <c r="Y352" s="111"/>
      <c r="Z352" s="111"/>
      <c r="AH352" s="18"/>
      <c r="AI352" s="18"/>
      <c r="AJ352" s="18"/>
      <c r="AK352" s="18"/>
      <c r="AL352" s="18"/>
      <c r="AM352" s="18"/>
      <c r="AN352" s="18"/>
    </row>
    <row r="353" spans="1:40">
      <c r="A353" s="51"/>
      <c r="B353" s="51"/>
      <c r="C353" s="51"/>
      <c r="D353" s="51"/>
      <c r="E353" s="51"/>
      <c r="F353" s="55"/>
      <c r="G353" s="56"/>
      <c r="H353" s="57"/>
      <c r="I353" s="51"/>
      <c r="J353" s="51"/>
      <c r="K353" s="58"/>
      <c r="L353" s="59"/>
      <c r="M353" s="58"/>
      <c r="N353" s="58"/>
      <c r="O353" s="51"/>
      <c r="P353" s="51"/>
      <c r="Q353" s="37"/>
      <c r="R353" s="70"/>
      <c r="S353" s="70"/>
      <c r="T353" s="70"/>
      <c r="U353" s="71"/>
      <c r="V353" s="73"/>
      <c r="W353" s="75"/>
      <c r="X353" s="117"/>
      <c r="Y353" s="111"/>
      <c r="Z353" s="111"/>
      <c r="AH353" s="18"/>
      <c r="AI353" s="18"/>
      <c r="AJ353" s="18"/>
      <c r="AK353" s="18"/>
      <c r="AL353" s="18"/>
      <c r="AM353" s="18"/>
      <c r="AN353" s="18"/>
    </row>
    <row r="354" spans="1:40">
      <c r="A354" s="51"/>
      <c r="B354" s="51"/>
      <c r="C354" s="51"/>
      <c r="D354" s="51"/>
      <c r="E354" s="51"/>
      <c r="F354" s="55"/>
      <c r="G354" s="56"/>
      <c r="H354" s="57"/>
      <c r="I354" s="51"/>
      <c r="J354" s="51"/>
      <c r="K354" s="58"/>
      <c r="L354" s="59"/>
      <c r="M354" s="58"/>
      <c r="N354" s="58"/>
      <c r="O354" s="51"/>
      <c r="P354" s="51"/>
      <c r="Q354" s="37"/>
      <c r="R354" s="70"/>
      <c r="S354" s="70"/>
      <c r="T354" s="70"/>
      <c r="U354" s="71"/>
      <c r="V354" s="73"/>
      <c r="W354" s="75"/>
      <c r="X354" s="117"/>
      <c r="Y354" s="111"/>
      <c r="Z354" s="111"/>
      <c r="AH354" s="18"/>
      <c r="AI354" s="18"/>
      <c r="AJ354" s="18"/>
      <c r="AK354" s="18"/>
      <c r="AL354" s="18"/>
      <c r="AM354" s="18"/>
      <c r="AN354" s="18"/>
    </row>
    <row r="355" spans="1:40">
      <c r="A355" s="51"/>
      <c r="B355" s="51"/>
      <c r="C355" s="51"/>
      <c r="D355" s="51"/>
      <c r="E355" s="51"/>
      <c r="F355" s="55"/>
      <c r="G355" s="56"/>
      <c r="H355" s="57"/>
      <c r="I355" s="51"/>
      <c r="J355" s="51"/>
      <c r="K355" s="58"/>
      <c r="L355" s="59"/>
      <c r="M355" s="58"/>
      <c r="N355" s="58"/>
      <c r="O355" s="51"/>
      <c r="P355" s="51"/>
      <c r="Q355" s="37"/>
      <c r="R355" s="70"/>
      <c r="S355" s="70"/>
      <c r="T355" s="70"/>
      <c r="U355" s="71"/>
      <c r="V355" s="73"/>
      <c r="W355" s="75"/>
      <c r="X355" s="117"/>
      <c r="Y355" s="111"/>
      <c r="Z355" s="111"/>
      <c r="AH355" s="18"/>
      <c r="AI355" s="18"/>
      <c r="AJ355" s="18"/>
      <c r="AK355" s="18"/>
      <c r="AL355" s="18"/>
      <c r="AM355" s="18"/>
      <c r="AN355" s="18"/>
    </row>
    <row r="356" spans="1:40">
      <c r="A356" s="51"/>
      <c r="B356" s="51"/>
      <c r="C356" s="51"/>
      <c r="D356" s="51"/>
      <c r="E356" s="51"/>
      <c r="F356" s="55"/>
      <c r="G356" s="56"/>
      <c r="H356" s="57"/>
      <c r="I356" s="51"/>
      <c r="J356" s="51"/>
      <c r="K356" s="58"/>
      <c r="L356" s="59"/>
      <c r="M356" s="58"/>
      <c r="N356" s="58"/>
      <c r="O356" s="51"/>
      <c r="P356" s="51"/>
      <c r="Q356" s="37"/>
      <c r="R356" s="70"/>
      <c r="S356" s="70"/>
      <c r="T356" s="70"/>
      <c r="U356" s="71"/>
      <c r="V356" s="73"/>
      <c r="W356" s="75"/>
      <c r="X356" s="117"/>
      <c r="Y356" s="111"/>
      <c r="Z356" s="111"/>
      <c r="AH356" s="18"/>
      <c r="AI356" s="18"/>
      <c r="AJ356" s="18"/>
      <c r="AK356" s="18"/>
      <c r="AL356" s="18"/>
      <c r="AM356" s="18"/>
      <c r="AN356" s="18"/>
    </row>
    <row r="357" spans="1:40">
      <c r="A357" s="51"/>
      <c r="B357" s="51"/>
      <c r="C357" s="51"/>
      <c r="D357" s="51"/>
      <c r="E357" s="51"/>
      <c r="F357" s="55"/>
      <c r="G357" s="56"/>
      <c r="H357" s="57"/>
      <c r="I357" s="51"/>
      <c r="J357" s="51"/>
      <c r="K357" s="58"/>
      <c r="L357" s="59"/>
      <c r="M357" s="58"/>
      <c r="N357" s="58"/>
      <c r="O357" s="51"/>
      <c r="P357" s="51"/>
      <c r="Q357" s="37"/>
      <c r="R357" s="70"/>
      <c r="S357" s="70"/>
      <c r="T357" s="70"/>
      <c r="U357" s="71"/>
      <c r="V357" s="73"/>
      <c r="W357" s="75"/>
      <c r="X357" s="117"/>
      <c r="Y357" s="111"/>
      <c r="Z357" s="111"/>
      <c r="AH357" s="18"/>
      <c r="AI357" s="18"/>
      <c r="AJ357" s="18"/>
      <c r="AK357" s="18"/>
      <c r="AL357" s="18"/>
      <c r="AM357" s="18"/>
      <c r="AN357" s="18"/>
    </row>
    <row r="358" spans="1:40">
      <c r="A358" s="51"/>
      <c r="B358" s="51"/>
      <c r="C358" s="51"/>
      <c r="D358" s="51"/>
      <c r="E358" s="51"/>
      <c r="F358" s="55"/>
      <c r="G358" s="56"/>
      <c r="H358" s="57"/>
      <c r="I358" s="51"/>
      <c r="J358" s="51"/>
      <c r="K358" s="58"/>
      <c r="L358" s="59"/>
      <c r="M358" s="58"/>
      <c r="N358" s="58"/>
      <c r="O358" s="51"/>
      <c r="P358" s="51"/>
      <c r="Q358" s="37"/>
      <c r="R358" s="70"/>
      <c r="S358" s="70"/>
      <c r="T358" s="70"/>
      <c r="U358" s="71"/>
      <c r="V358" s="73"/>
      <c r="W358" s="75"/>
      <c r="X358" s="117"/>
      <c r="Y358" s="111"/>
      <c r="Z358" s="111"/>
      <c r="AH358" s="18"/>
      <c r="AI358" s="18"/>
      <c r="AJ358" s="18"/>
      <c r="AK358" s="18"/>
      <c r="AL358" s="18"/>
      <c r="AM358" s="18"/>
      <c r="AN358" s="18"/>
    </row>
    <row r="359" spans="1:40">
      <c r="A359" s="51"/>
      <c r="B359" s="51"/>
      <c r="C359" s="51"/>
      <c r="D359" s="51"/>
      <c r="E359" s="51"/>
      <c r="F359" s="55"/>
      <c r="G359" s="56"/>
      <c r="H359" s="57"/>
      <c r="I359" s="51"/>
      <c r="J359" s="51"/>
      <c r="K359" s="58"/>
      <c r="L359" s="59"/>
      <c r="M359" s="58"/>
      <c r="N359" s="58"/>
      <c r="O359" s="51"/>
      <c r="P359" s="51"/>
      <c r="Q359" s="37"/>
      <c r="R359" s="70"/>
      <c r="S359" s="70"/>
      <c r="T359" s="70"/>
      <c r="U359" s="71"/>
      <c r="V359" s="73"/>
      <c r="W359" s="75"/>
      <c r="X359" s="117"/>
      <c r="Y359" s="111"/>
      <c r="Z359" s="111"/>
      <c r="AH359" s="18"/>
      <c r="AI359" s="18"/>
      <c r="AJ359" s="18"/>
      <c r="AK359" s="18"/>
      <c r="AL359" s="18"/>
      <c r="AM359" s="18"/>
      <c r="AN359" s="18"/>
    </row>
    <row r="360" spans="1:40">
      <c r="A360" s="51"/>
      <c r="B360" s="51"/>
      <c r="C360" s="51"/>
      <c r="D360" s="51"/>
      <c r="E360" s="51"/>
      <c r="F360" s="55"/>
      <c r="G360" s="56"/>
      <c r="H360" s="57"/>
      <c r="I360" s="51"/>
      <c r="J360" s="51"/>
      <c r="K360" s="58"/>
      <c r="L360" s="59"/>
      <c r="M360" s="58"/>
      <c r="N360" s="58"/>
      <c r="O360" s="51"/>
      <c r="P360" s="51"/>
      <c r="Q360" s="37"/>
      <c r="R360" s="70"/>
      <c r="S360" s="70"/>
      <c r="T360" s="70"/>
      <c r="U360" s="71"/>
      <c r="V360" s="73"/>
      <c r="W360" s="75"/>
      <c r="X360" s="117"/>
      <c r="Y360" s="111"/>
      <c r="Z360" s="111"/>
      <c r="AH360" s="18"/>
      <c r="AI360" s="18"/>
      <c r="AJ360" s="18"/>
      <c r="AK360" s="18"/>
      <c r="AL360" s="18"/>
      <c r="AM360" s="18"/>
      <c r="AN360" s="18"/>
    </row>
    <row r="361" spans="1:40">
      <c r="A361" s="51"/>
      <c r="B361" s="51"/>
      <c r="C361" s="51"/>
      <c r="D361" s="51"/>
      <c r="E361" s="51"/>
      <c r="F361" s="55"/>
      <c r="G361" s="56"/>
      <c r="H361" s="57"/>
      <c r="I361" s="51"/>
      <c r="J361" s="51"/>
      <c r="K361" s="58"/>
      <c r="L361" s="59"/>
      <c r="M361" s="58"/>
      <c r="N361" s="58"/>
      <c r="O361" s="51"/>
      <c r="P361" s="51"/>
      <c r="Q361" s="37"/>
      <c r="R361" s="70"/>
      <c r="S361" s="70"/>
      <c r="T361" s="70"/>
      <c r="U361" s="71"/>
      <c r="V361" s="73"/>
      <c r="W361" s="75"/>
      <c r="X361" s="117"/>
      <c r="Y361" s="111"/>
      <c r="Z361" s="111"/>
      <c r="AH361" s="18"/>
      <c r="AI361" s="18"/>
      <c r="AJ361" s="18"/>
      <c r="AK361" s="18"/>
      <c r="AL361" s="18"/>
      <c r="AM361" s="18"/>
      <c r="AN361" s="18"/>
    </row>
    <row r="362" spans="1:40">
      <c r="A362" s="51"/>
      <c r="B362" s="51"/>
      <c r="C362" s="51"/>
      <c r="D362" s="51"/>
      <c r="E362" s="51"/>
      <c r="F362" s="55"/>
      <c r="G362" s="56"/>
      <c r="H362" s="57"/>
      <c r="I362" s="51"/>
      <c r="J362" s="51"/>
      <c r="K362" s="58"/>
      <c r="L362" s="59"/>
      <c r="M362" s="58"/>
      <c r="N362" s="58"/>
      <c r="O362" s="51"/>
      <c r="P362" s="51"/>
      <c r="Q362" s="37"/>
      <c r="R362" s="70"/>
      <c r="S362" s="70"/>
      <c r="T362" s="70"/>
      <c r="U362" s="71"/>
      <c r="V362" s="73"/>
      <c r="W362" s="75"/>
      <c r="X362" s="117"/>
      <c r="Y362" s="111"/>
      <c r="Z362" s="111"/>
      <c r="AH362" s="18"/>
      <c r="AI362" s="18"/>
      <c r="AJ362" s="18"/>
      <c r="AK362" s="18"/>
      <c r="AL362" s="18"/>
      <c r="AM362" s="18"/>
      <c r="AN362" s="18"/>
    </row>
    <row r="363" spans="1:40">
      <c r="A363" s="51"/>
      <c r="B363" s="51"/>
      <c r="C363" s="51"/>
      <c r="D363" s="51"/>
      <c r="E363" s="51"/>
      <c r="F363" s="55"/>
      <c r="G363" s="56"/>
      <c r="H363" s="57"/>
      <c r="I363" s="51"/>
      <c r="J363" s="51"/>
      <c r="K363" s="58"/>
      <c r="L363" s="59"/>
      <c r="M363" s="58"/>
      <c r="N363" s="58"/>
      <c r="O363" s="51"/>
      <c r="P363" s="51"/>
      <c r="Q363" s="37"/>
      <c r="R363" s="70"/>
      <c r="S363" s="70"/>
      <c r="T363" s="70"/>
      <c r="U363" s="71"/>
      <c r="V363" s="73"/>
      <c r="W363" s="75"/>
      <c r="X363" s="117"/>
      <c r="Y363" s="111"/>
      <c r="Z363" s="111"/>
      <c r="AH363" s="18"/>
      <c r="AI363" s="18"/>
      <c r="AJ363" s="18"/>
      <c r="AK363" s="18"/>
      <c r="AL363" s="18"/>
      <c r="AM363" s="18"/>
      <c r="AN363" s="18"/>
    </row>
    <row r="364" spans="1:40">
      <c r="A364" s="51"/>
      <c r="B364" s="51"/>
      <c r="C364" s="51"/>
      <c r="D364" s="51"/>
      <c r="E364" s="51"/>
      <c r="F364" s="55"/>
      <c r="G364" s="56"/>
      <c r="H364" s="57"/>
      <c r="I364" s="51"/>
      <c r="J364" s="51"/>
      <c r="K364" s="58"/>
      <c r="L364" s="59"/>
      <c r="M364" s="58"/>
      <c r="N364" s="58"/>
      <c r="O364" s="51"/>
      <c r="P364" s="51"/>
      <c r="Q364" s="37"/>
      <c r="R364" s="70"/>
      <c r="S364" s="70"/>
      <c r="T364" s="70"/>
      <c r="U364" s="71"/>
      <c r="V364" s="73"/>
      <c r="W364" s="75"/>
      <c r="X364" s="117"/>
      <c r="Y364" s="111"/>
      <c r="Z364" s="111"/>
      <c r="AH364" s="18"/>
      <c r="AI364" s="18"/>
      <c r="AJ364" s="18"/>
      <c r="AK364" s="18"/>
      <c r="AL364" s="18"/>
      <c r="AM364" s="18"/>
      <c r="AN364" s="18"/>
    </row>
    <row r="365" spans="1:40">
      <c r="A365" s="51"/>
      <c r="B365" s="51"/>
      <c r="C365" s="51"/>
      <c r="D365" s="51"/>
      <c r="E365" s="51"/>
      <c r="F365" s="55"/>
      <c r="G365" s="56"/>
      <c r="H365" s="57"/>
      <c r="I365" s="51"/>
      <c r="J365" s="51"/>
      <c r="K365" s="58"/>
      <c r="L365" s="59"/>
      <c r="M365" s="58"/>
      <c r="N365" s="58"/>
      <c r="O365" s="51"/>
      <c r="P365" s="51"/>
      <c r="Q365" s="37"/>
      <c r="R365" s="70"/>
      <c r="S365" s="70"/>
      <c r="T365" s="70"/>
      <c r="U365" s="71"/>
      <c r="V365" s="73"/>
      <c r="W365" s="75"/>
      <c r="X365" s="117"/>
      <c r="Y365" s="111"/>
      <c r="Z365" s="111"/>
      <c r="AH365" s="18"/>
      <c r="AI365" s="18"/>
      <c r="AJ365" s="18"/>
      <c r="AK365" s="18"/>
      <c r="AL365" s="18"/>
      <c r="AM365" s="18"/>
      <c r="AN365" s="18"/>
    </row>
    <row r="366" spans="1:40">
      <c r="A366" s="51"/>
      <c r="B366" s="51"/>
      <c r="C366" s="51"/>
      <c r="D366" s="51"/>
      <c r="E366" s="51"/>
      <c r="F366" s="55"/>
      <c r="G366" s="56"/>
      <c r="H366" s="57"/>
      <c r="I366" s="51"/>
      <c r="J366" s="51"/>
      <c r="K366" s="58"/>
      <c r="L366" s="59"/>
      <c r="M366" s="58"/>
      <c r="N366" s="58"/>
      <c r="O366" s="51"/>
      <c r="P366" s="51"/>
      <c r="Q366" s="37"/>
      <c r="R366" s="70"/>
      <c r="S366" s="70"/>
      <c r="T366" s="70"/>
      <c r="U366" s="71"/>
      <c r="V366" s="73"/>
      <c r="W366" s="75"/>
      <c r="X366" s="117"/>
      <c r="Y366" s="111"/>
      <c r="Z366" s="111"/>
      <c r="AH366" s="18"/>
      <c r="AI366" s="18"/>
      <c r="AJ366" s="18"/>
      <c r="AK366" s="18"/>
      <c r="AL366" s="18"/>
      <c r="AM366" s="18"/>
      <c r="AN366" s="18"/>
    </row>
    <row r="367" spans="1:40">
      <c r="A367" s="51"/>
      <c r="B367" s="51"/>
      <c r="C367" s="51"/>
      <c r="D367" s="51"/>
      <c r="E367" s="51"/>
      <c r="F367" s="55"/>
      <c r="G367" s="56"/>
      <c r="H367" s="57"/>
      <c r="I367" s="51"/>
      <c r="J367" s="51"/>
      <c r="K367" s="58"/>
      <c r="L367" s="59"/>
      <c r="M367" s="58"/>
      <c r="N367" s="58"/>
      <c r="O367" s="51"/>
      <c r="P367" s="51"/>
      <c r="Q367" s="37"/>
      <c r="R367" s="70"/>
      <c r="S367" s="70"/>
      <c r="T367" s="70"/>
      <c r="U367" s="71"/>
      <c r="V367" s="73"/>
      <c r="W367" s="75"/>
      <c r="X367" s="117"/>
      <c r="Y367" s="111"/>
      <c r="Z367" s="111"/>
      <c r="AH367" s="18"/>
      <c r="AI367" s="18"/>
      <c r="AJ367" s="18"/>
      <c r="AK367" s="18"/>
      <c r="AL367" s="18"/>
      <c r="AM367" s="18"/>
      <c r="AN367" s="18"/>
    </row>
    <row r="368" spans="1:40">
      <c r="A368" s="51"/>
      <c r="B368" s="51"/>
      <c r="C368" s="51"/>
      <c r="D368" s="51"/>
      <c r="E368" s="51"/>
      <c r="F368" s="55"/>
      <c r="G368" s="56"/>
      <c r="H368" s="57"/>
      <c r="I368" s="51"/>
      <c r="J368" s="51"/>
      <c r="K368" s="58"/>
      <c r="L368" s="59"/>
      <c r="M368" s="58"/>
      <c r="N368" s="58"/>
      <c r="O368" s="51"/>
      <c r="P368" s="51"/>
      <c r="Q368" s="37"/>
      <c r="R368" s="70"/>
      <c r="S368" s="70"/>
      <c r="T368" s="70"/>
      <c r="U368" s="71"/>
      <c r="V368" s="73"/>
      <c r="W368" s="75"/>
      <c r="X368" s="117"/>
      <c r="Y368" s="111"/>
      <c r="Z368" s="111"/>
      <c r="AH368" s="18"/>
      <c r="AI368" s="18"/>
      <c r="AJ368" s="18"/>
      <c r="AK368" s="18"/>
      <c r="AL368" s="18"/>
      <c r="AM368" s="18"/>
      <c r="AN368" s="18"/>
    </row>
    <row r="369" spans="1:40">
      <c r="A369" s="51"/>
      <c r="B369" s="51"/>
      <c r="C369" s="51"/>
      <c r="D369" s="51"/>
      <c r="E369" s="51"/>
      <c r="F369" s="55"/>
      <c r="G369" s="56"/>
      <c r="H369" s="57"/>
      <c r="I369" s="51"/>
      <c r="J369" s="51"/>
      <c r="K369" s="58"/>
      <c r="L369" s="59"/>
      <c r="M369" s="58"/>
      <c r="N369" s="58"/>
      <c r="O369" s="51"/>
      <c r="P369" s="51"/>
      <c r="Q369" s="37"/>
      <c r="R369" s="70"/>
      <c r="S369" s="70"/>
      <c r="T369" s="70"/>
      <c r="U369" s="71"/>
      <c r="V369" s="73"/>
      <c r="W369" s="75"/>
      <c r="X369" s="117"/>
      <c r="Y369" s="111"/>
      <c r="Z369" s="111"/>
      <c r="AH369" s="18"/>
      <c r="AI369" s="18"/>
      <c r="AJ369" s="18"/>
      <c r="AK369" s="18"/>
      <c r="AL369" s="18"/>
      <c r="AM369" s="18"/>
      <c r="AN369" s="18"/>
    </row>
    <row r="370" spans="1:40">
      <c r="A370" s="51"/>
      <c r="B370" s="51"/>
      <c r="C370" s="51"/>
      <c r="D370" s="51"/>
      <c r="E370" s="51"/>
      <c r="F370" s="55"/>
      <c r="G370" s="56"/>
      <c r="H370" s="57"/>
      <c r="I370" s="51"/>
      <c r="J370" s="51"/>
      <c r="K370" s="58"/>
      <c r="L370" s="59"/>
      <c r="M370" s="58"/>
      <c r="N370" s="58"/>
      <c r="O370" s="51"/>
      <c r="P370" s="51"/>
      <c r="Q370" s="37"/>
      <c r="R370" s="70"/>
      <c r="S370" s="70"/>
      <c r="T370" s="70"/>
      <c r="U370" s="71"/>
      <c r="V370" s="73"/>
      <c r="W370" s="75"/>
      <c r="X370" s="117"/>
      <c r="Y370" s="111"/>
      <c r="Z370" s="111"/>
      <c r="AH370" s="18"/>
      <c r="AI370" s="18"/>
      <c r="AJ370" s="18"/>
      <c r="AK370" s="18"/>
      <c r="AL370" s="18"/>
      <c r="AM370" s="18"/>
      <c r="AN370" s="18"/>
    </row>
    <row r="371" spans="1:40">
      <c r="A371" s="51"/>
      <c r="B371" s="51"/>
      <c r="C371" s="51"/>
      <c r="D371" s="51"/>
      <c r="E371" s="51"/>
      <c r="F371" s="55"/>
      <c r="G371" s="56"/>
      <c r="H371" s="57"/>
      <c r="I371" s="51"/>
      <c r="J371" s="51"/>
      <c r="K371" s="58"/>
      <c r="L371" s="59"/>
      <c r="M371" s="58"/>
      <c r="N371" s="58"/>
      <c r="O371" s="51"/>
      <c r="P371" s="51"/>
      <c r="Q371" s="37"/>
      <c r="R371" s="70"/>
      <c r="S371" s="70"/>
      <c r="T371" s="70"/>
      <c r="U371" s="71"/>
      <c r="V371" s="73"/>
      <c r="W371" s="75"/>
      <c r="X371" s="117"/>
      <c r="Y371" s="111"/>
      <c r="Z371" s="111"/>
      <c r="AH371" s="18"/>
      <c r="AI371" s="18"/>
      <c r="AJ371" s="18"/>
      <c r="AK371" s="18"/>
      <c r="AL371" s="18"/>
      <c r="AM371" s="18"/>
      <c r="AN371" s="18"/>
    </row>
    <row r="372" spans="1:40">
      <c r="A372" s="51"/>
      <c r="B372" s="51"/>
      <c r="C372" s="51"/>
      <c r="D372" s="51"/>
      <c r="E372" s="51"/>
      <c r="F372" s="55"/>
      <c r="G372" s="56"/>
      <c r="H372" s="57"/>
      <c r="I372" s="51"/>
      <c r="J372" s="51"/>
      <c r="K372" s="58"/>
      <c r="L372" s="59"/>
      <c r="M372" s="58"/>
      <c r="N372" s="58"/>
      <c r="O372" s="51"/>
      <c r="P372" s="51"/>
      <c r="Q372" s="37"/>
      <c r="R372" s="70"/>
      <c r="S372" s="70"/>
      <c r="T372" s="70"/>
      <c r="U372" s="71"/>
      <c r="V372" s="73"/>
      <c r="W372" s="75"/>
      <c r="X372" s="117"/>
      <c r="Y372" s="111"/>
      <c r="Z372" s="111"/>
      <c r="AH372" s="18"/>
      <c r="AI372" s="18"/>
      <c r="AJ372" s="18"/>
      <c r="AK372" s="18"/>
      <c r="AL372" s="18"/>
      <c r="AM372" s="18"/>
      <c r="AN372" s="18"/>
    </row>
    <row r="373" spans="1:40">
      <c r="A373" s="51"/>
      <c r="B373" s="51"/>
      <c r="C373" s="51"/>
      <c r="D373" s="51"/>
      <c r="E373" s="51"/>
      <c r="F373" s="55"/>
      <c r="G373" s="56"/>
      <c r="H373" s="57"/>
      <c r="I373" s="51"/>
      <c r="J373" s="51"/>
      <c r="K373" s="58"/>
      <c r="L373" s="59"/>
      <c r="M373" s="58"/>
      <c r="N373" s="58"/>
      <c r="O373" s="51"/>
      <c r="P373" s="51"/>
      <c r="Q373" s="37"/>
      <c r="R373" s="70"/>
      <c r="S373" s="70"/>
      <c r="T373" s="70"/>
      <c r="U373" s="71"/>
      <c r="V373" s="73"/>
      <c r="W373" s="75"/>
      <c r="X373" s="117"/>
      <c r="Y373" s="111"/>
      <c r="Z373" s="111"/>
      <c r="AH373" s="18"/>
      <c r="AI373" s="18"/>
      <c r="AJ373" s="18"/>
      <c r="AK373" s="18"/>
      <c r="AL373" s="18"/>
      <c r="AM373" s="18"/>
      <c r="AN373" s="18"/>
    </row>
    <row r="374" spans="1:40">
      <c r="A374" s="51"/>
      <c r="B374" s="51"/>
      <c r="C374" s="51"/>
      <c r="D374" s="51"/>
      <c r="E374" s="51"/>
      <c r="F374" s="55"/>
      <c r="G374" s="56"/>
      <c r="H374" s="57"/>
      <c r="I374" s="51"/>
      <c r="J374" s="51"/>
      <c r="K374" s="58"/>
      <c r="L374" s="59"/>
      <c r="M374" s="58"/>
      <c r="N374" s="58"/>
      <c r="O374" s="51"/>
      <c r="P374" s="51"/>
      <c r="Q374" s="37"/>
      <c r="R374" s="70"/>
      <c r="S374" s="70"/>
      <c r="T374" s="70"/>
      <c r="U374" s="71"/>
      <c r="V374" s="73"/>
      <c r="W374" s="75"/>
      <c r="X374" s="117"/>
      <c r="Y374" s="111"/>
      <c r="Z374" s="111"/>
      <c r="AH374" s="18"/>
      <c r="AI374" s="18"/>
      <c r="AJ374" s="18"/>
      <c r="AK374" s="18"/>
      <c r="AL374" s="18"/>
      <c r="AM374" s="18"/>
      <c r="AN374" s="18"/>
    </row>
    <row r="375" spans="1:40">
      <c r="A375" s="51"/>
      <c r="B375" s="51"/>
      <c r="C375" s="51"/>
      <c r="D375" s="51"/>
      <c r="E375" s="51"/>
      <c r="F375" s="55"/>
      <c r="G375" s="56"/>
      <c r="H375" s="57"/>
      <c r="I375" s="51"/>
      <c r="J375" s="51"/>
      <c r="K375" s="58"/>
      <c r="L375" s="59"/>
      <c r="M375" s="58"/>
      <c r="N375" s="58"/>
      <c r="O375" s="51"/>
      <c r="P375" s="51"/>
      <c r="Q375" s="37"/>
      <c r="R375" s="70"/>
      <c r="S375" s="70"/>
      <c r="T375" s="70"/>
      <c r="U375" s="71"/>
      <c r="V375" s="73"/>
      <c r="W375" s="75"/>
      <c r="X375" s="117"/>
      <c r="Y375" s="111"/>
      <c r="Z375" s="111"/>
      <c r="AH375" s="18"/>
      <c r="AI375" s="18"/>
      <c r="AJ375" s="18"/>
      <c r="AK375" s="18"/>
      <c r="AL375" s="18"/>
      <c r="AM375" s="18"/>
      <c r="AN375" s="18"/>
    </row>
    <row r="376" spans="1:40">
      <c r="A376" s="51"/>
      <c r="B376" s="51"/>
      <c r="C376" s="51"/>
      <c r="D376" s="51"/>
      <c r="E376" s="51"/>
      <c r="F376" s="55"/>
      <c r="G376" s="56"/>
      <c r="H376" s="57"/>
      <c r="I376" s="51"/>
      <c r="J376" s="51"/>
      <c r="K376" s="58"/>
      <c r="L376" s="59"/>
      <c r="M376" s="58"/>
      <c r="N376" s="58"/>
      <c r="O376" s="51"/>
      <c r="P376" s="51"/>
      <c r="Q376" s="37"/>
      <c r="R376" s="70"/>
      <c r="S376" s="70"/>
      <c r="T376" s="70"/>
      <c r="U376" s="71"/>
      <c r="V376" s="73"/>
      <c r="W376" s="75"/>
      <c r="X376" s="117"/>
      <c r="Y376" s="111"/>
      <c r="Z376" s="111"/>
      <c r="AH376" s="18"/>
      <c r="AI376" s="18"/>
      <c r="AJ376" s="18"/>
      <c r="AK376" s="18"/>
      <c r="AL376" s="18"/>
      <c r="AM376" s="18"/>
      <c r="AN376" s="18"/>
    </row>
    <row r="377" spans="1:40">
      <c r="A377" s="51"/>
      <c r="B377" s="51"/>
      <c r="C377" s="51"/>
      <c r="D377" s="51"/>
      <c r="E377" s="51"/>
      <c r="F377" s="55"/>
      <c r="G377" s="56"/>
      <c r="H377" s="57"/>
      <c r="I377" s="51"/>
      <c r="J377" s="51"/>
      <c r="K377" s="58"/>
      <c r="L377" s="59"/>
      <c r="M377" s="58"/>
      <c r="N377" s="58"/>
      <c r="O377" s="51"/>
      <c r="P377" s="51"/>
      <c r="Q377" s="37"/>
      <c r="R377" s="70"/>
      <c r="S377" s="70"/>
      <c r="T377" s="70"/>
      <c r="U377" s="71"/>
      <c r="V377" s="73"/>
      <c r="W377" s="75"/>
      <c r="X377" s="117"/>
      <c r="Y377" s="111"/>
      <c r="Z377" s="111"/>
      <c r="AH377" s="18"/>
      <c r="AI377" s="18"/>
      <c r="AJ377" s="18"/>
      <c r="AK377" s="18"/>
      <c r="AL377" s="18"/>
      <c r="AM377" s="18"/>
      <c r="AN377" s="18"/>
    </row>
    <row r="378" spans="1:40">
      <c r="A378" s="51"/>
      <c r="B378" s="51"/>
      <c r="C378" s="51"/>
      <c r="D378" s="51"/>
      <c r="E378" s="51"/>
      <c r="F378" s="55"/>
      <c r="G378" s="56"/>
      <c r="H378" s="57"/>
      <c r="I378" s="51"/>
      <c r="J378" s="51"/>
      <c r="K378" s="58"/>
      <c r="L378" s="59"/>
      <c r="M378" s="58"/>
      <c r="N378" s="58"/>
      <c r="O378" s="51"/>
      <c r="P378" s="51"/>
      <c r="Q378" s="37"/>
      <c r="R378" s="70"/>
      <c r="S378" s="70"/>
      <c r="T378" s="70"/>
      <c r="U378" s="71"/>
      <c r="V378" s="73"/>
      <c r="W378" s="75"/>
      <c r="X378" s="117"/>
      <c r="Y378" s="111"/>
      <c r="Z378" s="111"/>
      <c r="AH378" s="18"/>
      <c r="AI378" s="18"/>
      <c r="AJ378" s="18"/>
      <c r="AK378" s="18"/>
      <c r="AL378" s="18"/>
      <c r="AM378" s="18"/>
      <c r="AN378" s="18"/>
    </row>
    <row r="379" spans="1:40">
      <c r="A379" s="51"/>
      <c r="B379" s="51"/>
      <c r="C379" s="51"/>
      <c r="D379" s="51"/>
      <c r="E379" s="51"/>
      <c r="F379" s="55"/>
      <c r="G379" s="56"/>
      <c r="H379" s="57"/>
      <c r="I379" s="51"/>
      <c r="J379" s="51"/>
      <c r="K379" s="58"/>
      <c r="L379" s="59"/>
      <c r="M379" s="58"/>
      <c r="N379" s="58"/>
      <c r="O379" s="51"/>
      <c r="P379" s="51"/>
      <c r="Q379" s="37"/>
      <c r="R379" s="70"/>
      <c r="S379" s="70"/>
      <c r="T379" s="70"/>
      <c r="U379" s="71"/>
      <c r="V379" s="73"/>
      <c r="W379" s="75"/>
      <c r="X379" s="117"/>
      <c r="Y379" s="111"/>
      <c r="Z379" s="111"/>
      <c r="AH379" s="18"/>
      <c r="AI379" s="18"/>
      <c r="AJ379" s="18"/>
      <c r="AK379" s="18"/>
      <c r="AL379" s="18"/>
      <c r="AM379" s="18"/>
      <c r="AN379" s="18"/>
    </row>
    <row r="380" spans="1:40">
      <c r="A380" s="51"/>
      <c r="B380" s="51"/>
      <c r="C380" s="51"/>
      <c r="D380" s="51"/>
      <c r="E380" s="51"/>
      <c r="F380" s="55"/>
      <c r="G380" s="56"/>
      <c r="H380" s="57"/>
      <c r="I380" s="51"/>
      <c r="J380" s="51"/>
      <c r="K380" s="58"/>
      <c r="L380" s="59"/>
      <c r="M380" s="58"/>
      <c r="N380" s="58"/>
      <c r="O380" s="51"/>
      <c r="P380" s="51"/>
      <c r="Q380" s="37"/>
      <c r="R380" s="70"/>
      <c r="S380" s="70"/>
      <c r="T380" s="70"/>
      <c r="U380" s="71"/>
      <c r="V380" s="73"/>
      <c r="W380" s="75"/>
      <c r="X380" s="117"/>
      <c r="Y380" s="111"/>
      <c r="Z380" s="111"/>
      <c r="AH380" s="18"/>
      <c r="AI380" s="18"/>
      <c r="AJ380" s="18"/>
      <c r="AK380" s="18"/>
      <c r="AL380" s="18"/>
      <c r="AM380" s="18"/>
      <c r="AN380" s="18"/>
    </row>
    <row r="381" spans="1:40">
      <c r="A381" s="51"/>
      <c r="B381" s="51"/>
      <c r="C381" s="51"/>
      <c r="D381" s="51"/>
      <c r="E381" s="51"/>
      <c r="F381" s="55"/>
      <c r="G381" s="56"/>
      <c r="H381" s="57"/>
      <c r="I381" s="51"/>
      <c r="J381" s="51"/>
      <c r="K381" s="58"/>
      <c r="L381" s="59"/>
      <c r="M381" s="58"/>
      <c r="N381" s="58"/>
      <c r="O381" s="51"/>
      <c r="P381" s="51"/>
      <c r="Q381" s="37"/>
      <c r="R381" s="70"/>
      <c r="S381" s="70"/>
      <c r="T381" s="70"/>
      <c r="U381" s="71"/>
      <c r="V381" s="73"/>
      <c r="W381" s="75"/>
      <c r="X381" s="117"/>
      <c r="Y381" s="111"/>
      <c r="Z381" s="111"/>
      <c r="AH381" s="18"/>
      <c r="AI381" s="18"/>
      <c r="AJ381" s="18"/>
      <c r="AK381" s="18"/>
      <c r="AL381" s="18"/>
      <c r="AM381" s="18"/>
      <c r="AN381" s="18"/>
    </row>
    <row r="382" spans="1:40">
      <c r="A382" s="51"/>
      <c r="B382" s="51"/>
      <c r="C382" s="51"/>
      <c r="D382" s="51"/>
      <c r="E382" s="51"/>
      <c r="F382" s="55"/>
      <c r="G382" s="56"/>
      <c r="H382" s="57"/>
      <c r="I382" s="51"/>
      <c r="J382" s="51"/>
      <c r="K382" s="58"/>
      <c r="L382" s="59"/>
      <c r="M382" s="58"/>
      <c r="N382" s="58"/>
      <c r="O382" s="51"/>
      <c r="P382" s="51"/>
      <c r="Q382" s="37"/>
      <c r="R382" s="70"/>
      <c r="S382" s="70"/>
      <c r="T382" s="70"/>
      <c r="U382" s="71"/>
      <c r="V382" s="73"/>
      <c r="W382" s="75"/>
      <c r="X382" s="117"/>
      <c r="Y382" s="111"/>
      <c r="Z382" s="111"/>
      <c r="AH382" s="18"/>
      <c r="AI382" s="18"/>
      <c r="AJ382" s="18"/>
      <c r="AK382" s="18"/>
      <c r="AL382" s="18"/>
      <c r="AM382" s="18"/>
      <c r="AN382" s="18"/>
    </row>
    <row r="383" spans="1:40">
      <c r="A383" s="51"/>
      <c r="B383" s="51"/>
      <c r="C383" s="51"/>
      <c r="D383" s="51"/>
      <c r="E383" s="51"/>
      <c r="F383" s="55"/>
      <c r="G383" s="56"/>
      <c r="H383" s="57"/>
      <c r="I383" s="51"/>
      <c r="J383" s="51"/>
      <c r="K383" s="58"/>
      <c r="L383" s="59"/>
      <c r="M383" s="58"/>
      <c r="N383" s="58"/>
      <c r="O383" s="51"/>
      <c r="P383" s="51"/>
      <c r="Q383" s="37"/>
      <c r="R383" s="70"/>
      <c r="S383" s="70"/>
      <c r="T383" s="70"/>
      <c r="U383" s="71"/>
      <c r="V383" s="73"/>
      <c r="W383" s="75"/>
      <c r="X383" s="117"/>
      <c r="Y383" s="111"/>
      <c r="Z383" s="111"/>
      <c r="AH383" s="18"/>
      <c r="AI383" s="18"/>
      <c r="AJ383" s="18"/>
      <c r="AK383" s="18"/>
      <c r="AL383" s="18"/>
      <c r="AM383" s="18"/>
      <c r="AN383" s="18"/>
    </row>
    <row r="384" spans="1:40">
      <c r="A384" s="51"/>
      <c r="B384" s="51"/>
      <c r="C384" s="51"/>
      <c r="D384" s="51"/>
      <c r="E384" s="51"/>
      <c r="F384" s="55"/>
      <c r="G384" s="56"/>
      <c r="H384" s="57"/>
      <c r="I384" s="51"/>
      <c r="J384" s="51"/>
      <c r="K384" s="58"/>
      <c r="L384" s="59"/>
      <c r="M384" s="58"/>
      <c r="N384" s="58"/>
      <c r="O384" s="51"/>
      <c r="P384" s="51"/>
      <c r="Q384" s="37"/>
      <c r="R384" s="70"/>
      <c r="S384" s="70"/>
      <c r="T384" s="70"/>
      <c r="U384" s="71"/>
      <c r="V384" s="73"/>
      <c r="W384" s="75"/>
      <c r="X384" s="117"/>
      <c r="Y384" s="111"/>
      <c r="Z384" s="111"/>
      <c r="AH384" s="18"/>
      <c r="AI384" s="18"/>
      <c r="AJ384" s="18"/>
      <c r="AK384" s="18"/>
      <c r="AL384" s="18"/>
      <c r="AM384" s="18"/>
      <c r="AN384" s="18"/>
    </row>
    <row r="385" spans="1:40">
      <c r="A385" s="51"/>
      <c r="B385" s="51"/>
      <c r="C385" s="51"/>
      <c r="D385" s="51"/>
      <c r="E385" s="51"/>
      <c r="F385" s="55"/>
      <c r="G385" s="56"/>
      <c r="H385" s="57"/>
      <c r="I385" s="51"/>
      <c r="J385" s="51"/>
      <c r="K385" s="58"/>
      <c r="L385" s="59"/>
      <c r="M385" s="58"/>
      <c r="N385" s="58"/>
      <c r="O385" s="51"/>
      <c r="P385" s="51"/>
      <c r="Q385" s="37"/>
      <c r="R385" s="70"/>
      <c r="S385" s="70"/>
      <c r="T385" s="70"/>
      <c r="U385" s="71"/>
      <c r="V385" s="73"/>
      <c r="W385" s="75"/>
      <c r="X385" s="117"/>
      <c r="Y385" s="111"/>
      <c r="Z385" s="111"/>
      <c r="AH385" s="18"/>
      <c r="AI385" s="18"/>
      <c r="AJ385" s="18"/>
      <c r="AK385" s="18"/>
      <c r="AL385" s="18"/>
      <c r="AM385" s="18"/>
      <c r="AN385" s="18"/>
    </row>
    <row r="386" spans="1:40">
      <c r="A386" s="51"/>
      <c r="B386" s="51"/>
      <c r="C386" s="51"/>
      <c r="D386" s="51"/>
      <c r="E386" s="51"/>
      <c r="F386" s="55"/>
      <c r="G386" s="56"/>
      <c r="H386" s="57"/>
      <c r="I386" s="51"/>
      <c r="J386" s="51"/>
      <c r="K386" s="58"/>
      <c r="L386" s="59"/>
      <c r="M386" s="58"/>
      <c r="N386" s="58"/>
      <c r="O386" s="51"/>
      <c r="P386" s="51"/>
      <c r="Q386" s="37"/>
      <c r="R386" s="70"/>
      <c r="S386" s="70"/>
      <c r="T386" s="70"/>
      <c r="U386" s="71"/>
      <c r="V386" s="73"/>
      <c r="W386" s="75"/>
      <c r="X386" s="117"/>
      <c r="Y386" s="111"/>
      <c r="Z386" s="111"/>
      <c r="AH386" s="18"/>
      <c r="AI386" s="18"/>
      <c r="AJ386" s="18"/>
      <c r="AK386" s="18"/>
      <c r="AL386" s="18"/>
      <c r="AM386" s="18"/>
      <c r="AN386" s="18"/>
    </row>
    <row r="387" spans="1:40">
      <c r="A387" s="51"/>
      <c r="B387" s="51"/>
      <c r="C387" s="51"/>
      <c r="D387" s="51"/>
      <c r="E387" s="51"/>
      <c r="F387" s="55"/>
      <c r="G387" s="56"/>
      <c r="H387" s="57"/>
      <c r="I387" s="51"/>
      <c r="J387" s="51"/>
      <c r="K387" s="58"/>
      <c r="L387" s="59"/>
      <c r="M387" s="58"/>
      <c r="N387" s="58"/>
      <c r="O387" s="51"/>
      <c r="P387" s="51"/>
      <c r="Q387" s="37"/>
      <c r="R387" s="70"/>
      <c r="S387" s="70"/>
      <c r="T387" s="70"/>
      <c r="U387" s="71"/>
      <c r="V387" s="73"/>
      <c r="W387" s="75"/>
      <c r="X387" s="117"/>
      <c r="Y387" s="111"/>
      <c r="Z387" s="111"/>
      <c r="AH387" s="18"/>
      <c r="AI387" s="18"/>
      <c r="AJ387" s="18"/>
      <c r="AK387" s="18"/>
      <c r="AL387" s="18"/>
      <c r="AM387" s="18"/>
      <c r="AN387" s="18"/>
    </row>
    <row r="388" spans="1:40">
      <c r="A388" s="51"/>
      <c r="B388" s="51"/>
      <c r="C388" s="51"/>
      <c r="D388" s="51"/>
      <c r="E388" s="51"/>
      <c r="F388" s="55"/>
      <c r="G388" s="56"/>
      <c r="H388" s="57"/>
      <c r="I388" s="51"/>
      <c r="J388" s="51"/>
      <c r="K388" s="58"/>
      <c r="L388" s="59"/>
      <c r="M388" s="58"/>
      <c r="N388" s="58"/>
      <c r="O388" s="51"/>
      <c r="P388" s="51"/>
      <c r="Q388" s="37"/>
      <c r="R388" s="70"/>
      <c r="S388" s="70"/>
      <c r="T388" s="70"/>
      <c r="U388" s="71"/>
      <c r="V388" s="73"/>
      <c r="W388" s="75"/>
      <c r="X388" s="117"/>
      <c r="Y388" s="111"/>
      <c r="Z388" s="111"/>
      <c r="AH388" s="18"/>
      <c r="AI388" s="18"/>
      <c r="AJ388" s="18"/>
      <c r="AK388" s="18"/>
      <c r="AL388" s="18"/>
      <c r="AM388" s="18"/>
      <c r="AN388" s="18"/>
    </row>
    <row r="389" spans="1:40">
      <c r="A389" s="51"/>
      <c r="B389" s="51"/>
      <c r="C389" s="51"/>
      <c r="D389" s="51"/>
      <c r="E389" s="51"/>
      <c r="F389" s="55"/>
      <c r="G389" s="56"/>
      <c r="H389" s="57"/>
      <c r="I389" s="51"/>
      <c r="J389" s="51"/>
      <c r="K389" s="58"/>
      <c r="L389" s="59"/>
      <c r="M389" s="58"/>
      <c r="N389" s="58"/>
      <c r="O389" s="51"/>
      <c r="P389" s="51"/>
      <c r="Q389" s="37"/>
      <c r="R389" s="70"/>
      <c r="S389" s="70"/>
      <c r="T389" s="70"/>
      <c r="U389" s="71"/>
      <c r="V389" s="73"/>
      <c r="W389" s="75"/>
      <c r="X389" s="117"/>
      <c r="Y389" s="111"/>
      <c r="Z389" s="111"/>
      <c r="AH389" s="18"/>
      <c r="AI389" s="18"/>
      <c r="AJ389" s="18"/>
      <c r="AK389" s="18"/>
      <c r="AL389" s="18"/>
      <c r="AM389" s="18"/>
      <c r="AN389" s="18"/>
    </row>
    <row r="390" spans="1:40">
      <c r="A390" s="51"/>
      <c r="B390" s="51"/>
      <c r="C390" s="51"/>
      <c r="D390" s="51"/>
      <c r="E390" s="51"/>
      <c r="F390" s="55"/>
      <c r="G390" s="56"/>
      <c r="H390" s="57"/>
      <c r="I390" s="51"/>
      <c r="J390" s="51"/>
      <c r="K390" s="58"/>
      <c r="L390" s="59"/>
      <c r="M390" s="58"/>
      <c r="N390" s="58"/>
      <c r="O390" s="51"/>
      <c r="P390" s="51"/>
      <c r="Q390" s="37"/>
      <c r="R390" s="70"/>
      <c r="S390" s="70"/>
      <c r="T390" s="70"/>
      <c r="U390" s="71"/>
      <c r="V390" s="73"/>
      <c r="W390" s="75"/>
      <c r="X390" s="117"/>
      <c r="Y390" s="111"/>
      <c r="Z390" s="111"/>
      <c r="AH390" s="18"/>
      <c r="AI390" s="18"/>
      <c r="AJ390" s="18"/>
      <c r="AK390" s="18"/>
      <c r="AL390" s="18"/>
      <c r="AM390" s="18"/>
      <c r="AN390" s="18"/>
    </row>
    <row r="391" spans="1:40">
      <c r="A391" s="51"/>
      <c r="B391" s="51"/>
      <c r="C391" s="51"/>
      <c r="D391" s="51"/>
      <c r="E391" s="51"/>
      <c r="F391" s="55"/>
      <c r="G391" s="56"/>
      <c r="H391" s="57"/>
      <c r="I391" s="51"/>
      <c r="J391" s="51"/>
      <c r="K391" s="58"/>
      <c r="L391" s="59"/>
      <c r="M391" s="58"/>
      <c r="N391" s="58"/>
      <c r="O391" s="51"/>
      <c r="P391" s="51"/>
      <c r="Q391" s="37"/>
      <c r="R391" s="70"/>
      <c r="S391" s="70"/>
      <c r="T391" s="70"/>
      <c r="U391" s="71"/>
      <c r="V391" s="73"/>
      <c r="W391" s="75"/>
      <c r="X391" s="117"/>
      <c r="Y391" s="111"/>
      <c r="Z391" s="111"/>
      <c r="AH391" s="18"/>
      <c r="AI391" s="18"/>
      <c r="AJ391" s="18"/>
      <c r="AK391" s="18"/>
      <c r="AL391" s="18"/>
      <c r="AM391" s="18"/>
      <c r="AN391" s="18"/>
    </row>
    <row r="392" spans="1:40">
      <c r="A392" s="51"/>
      <c r="B392" s="51"/>
      <c r="C392" s="51"/>
      <c r="D392" s="51"/>
      <c r="E392" s="51"/>
      <c r="F392" s="55"/>
      <c r="G392" s="56"/>
      <c r="H392" s="57"/>
      <c r="I392" s="51"/>
      <c r="J392" s="51"/>
      <c r="K392" s="58"/>
      <c r="L392" s="59"/>
      <c r="M392" s="58"/>
      <c r="N392" s="58"/>
      <c r="O392" s="51"/>
      <c r="P392" s="51"/>
      <c r="Q392" s="37"/>
      <c r="R392" s="70"/>
      <c r="S392" s="70"/>
      <c r="T392" s="70"/>
      <c r="U392" s="71"/>
      <c r="V392" s="73"/>
      <c r="W392" s="75"/>
      <c r="X392" s="117"/>
      <c r="Y392" s="111"/>
      <c r="Z392" s="111"/>
      <c r="AH392" s="18"/>
      <c r="AI392" s="18"/>
      <c r="AJ392" s="18"/>
      <c r="AK392" s="18"/>
      <c r="AL392" s="18"/>
      <c r="AM392" s="18"/>
      <c r="AN392" s="18"/>
    </row>
    <row r="393" spans="1:40">
      <c r="A393" s="51"/>
      <c r="B393" s="51"/>
      <c r="C393" s="51"/>
      <c r="D393" s="51"/>
      <c r="E393" s="51"/>
      <c r="F393" s="55"/>
      <c r="G393" s="56"/>
      <c r="H393" s="57"/>
      <c r="I393" s="51"/>
      <c r="J393" s="51"/>
      <c r="K393" s="58"/>
      <c r="L393" s="59"/>
      <c r="M393" s="58"/>
      <c r="N393" s="58"/>
      <c r="O393" s="51"/>
      <c r="P393" s="51"/>
      <c r="Q393" s="37"/>
      <c r="R393" s="70"/>
      <c r="S393" s="70"/>
      <c r="T393" s="70"/>
      <c r="U393" s="71"/>
      <c r="V393" s="73"/>
      <c r="W393" s="75"/>
      <c r="X393" s="117"/>
      <c r="Y393" s="111"/>
      <c r="Z393" s="111"/>
      <c r="AH393" s="18"/>
      <c r="AI393" s="18"/>
      <c r="AJ393" s="18"/>
      <c r="AK393" s="18"/>
      <c r="AL393" s="18"/>
      <c r="AM393" s="18"/>
      <c r="AN393" s="18"/>
    </row>
    <row r="394" spans="1:40">
      <c r="A394" s="51"/>
      <c r="B394" s="51"/>
      <c r="C394" s="51"/>
      <c r="D394" s="51"/>
      <c r="E394" s="51"/>
      <c r="F394" s="55"/>
      <c r="G394" s="56"/>
      <c r="H394" s="57"/>
      <c r="I394" s="51"/>
      <c r="J394" s="51"/>
      <c r="K394" s="58"/>
      <c r="L394" s="59"/>
      <c r="M394" s="58"/>
      <c r="N394" s="58"/>
      <c r="O394" s="51"/>
      <c r="P394" s="51"/>
      <c r="Q394" s="37"/>
      <c r="R394" s="70"/>
      <c r="S394" s="70"/>
      <c r="T394" s="70"/>
      <c r="U394" s="71"/>
      <c r="V394" s="73"/>
      <c r="W394" s="75"/>
      <c r="X394" s="117"/>
      <c r="Y394" s="111"/>
      <c r="Z394" s="111"/>
      <c r="AH394" s="18"/>
      <c r="AI394" s="18"/>
      <c r="AJ394" s="18"/>
      <c r="AK394" s="18"/>
      <c r="AL394" s="18"/>
      <c r="AM394" s="18"/>
      <c r="AN394" s="18"/>
    </row>
    <row r="395" spans="1:40">
      <c r="A395" s="51"/>
      <c r="B395" s="51"/>
      <c r="C395" s="51"/>
      <c r="D395" s="51"/>
      <c r="E395" s="51"/>
      <c r="F395" s="55"/>
      <c r="G395" s="56"/>
      <c r="H395" s="57"/>
      <c r="I395" s="51"/>
      <c r="J395" s="51"/>
      <c r="K395" s="58"/>
      <c r="L395" s="59"/>
      <c r="M395" s="58"/>
      <c r="N395" s="58"/>
      <c r="O395" s="51"/>
      <c r="P395" s="51"/>
      <c r="Q395" s="37"/>
      <c r="R395" s="70"/>
      <c r="S395" s="70"/>
      <c r="T395" s="70"/>
      <c r="U395" s="71"/>
      <c r="V395" s="73"/>
      <c r="W395" s="75"/>
      <c r="X395" s="117"/>
      <c r="Y395" s="111"/>
      <c r="Z395" s="111"/>
      <c r="AH395" s="18"/>
      <c r="AI395" s="18"/>
      <c r="AJ395" s="18"/>
      <c r="AK395" s="18"/>
      <c r="AL395" s="18"/>
      <c r="AM395" s="18"/>
      <c r="AN395" s="18"/>
    </row>
    <row r="396" spans="1:40">
      <c r="A396" s="51"/>
      <c r="B396" s="51"/>
      <c r="C396" s="51"/>
      <c r="D396" s="51"/>
      <c r="E396" s="51"/>
      <c r="F396" s="55"/>
      <c r="G396" s="56"/>
      <c r="H396" s="57"/>
      <c r="I396" s="51"/>
      <c r="J396" s="51"/>
      <c r="K396" s="58"/>
      <c r="L396" s="59"/>
      <c r="M396" s="58"/>
      <c r="N396" s="58"/>
      <c r="O396" s="51"/>
      <c r="P396" s="51"/>
      <c r="Q396" s="37"/>
      <c r="R396" s="70"/>
      <c r="S396" s="70"/>
      <c r="T396" s="70"/>
      <c r="U396" s="71"/>
      <c r="V396" s="73"/>
      <c r="W396" s="75"/>
      <c r="X396" s="117"/>
      <c r="Y396" s="111"/>
      <c r="Z396" s="111"/>
      <c r="AH396" s="18"/>
      <c r="AI396" s="18"/>
      <c r="AJ396" s="18"/>
      <c r="AK396" s="18"/>
      <c r="AL396" s="18"/>
      <c r="AM396" s="18"/>
      <c r="AN396" s="18"/>
    </row>
    <row r="397" spans="1:40">
      <c r="A397" s="51"/>
      <c r="B397" s="51"/>
      <c r="C397" s="51"/>
      <c r="D397" s="51"/>
      <c r="E397" s="51"/>
      <c r="F397" s="55"/>
      <c r="G397" s="56"/>
      <c r="H397" s="57"/>
      <c r="I397" s="51"/>
      <c r="J397" s="51"/>
      <c r="K397" s="58"/>
      <c r="L397" s="59"/>
      <c r="M397" s="58"/>
      <c r="N397" s="58"/>
      <c r="O397" s="51"/>
      <c r="P397" s="51"/>
      <c r="Q397" s="37"/>
      <c r="R397" s="70"/>
      <c r="S397" s="70"/>
      <c r="T397" s="70"/>
      <c r="U397" s="71"/>
      <c r="V397" s="73"/>
      <c r="W397" s="75"/>
      <c r="X397" s="117"/>
      <c r="Y397" s="111"/>
      <c r="Z397" s="111"/>
      <c r="AH397" s="18"/>
      <c r="AI397" s="18"/>
      <c r="AJ397" s="18"/>
      <c r="AK397" s="18"/>
      <c r="AL397" s="18"/>
      <c r="AM397" s="18"/>
      <c r="AN397" s="18"/>
    </row>
    <row r="398" spans="1:40">
      <c r="A398" s="51"/>
      <c r="B398" s="51"/>
      <c r="C398" s="51"/>
      <c r="D398" s="51"/>
      <c r="E398" s="51"/>
      <c r="F398" s="55"/>
      <c r="G398" s="56"/>
      <c r="H398" s="57"/>
      <c r="I398" s="51"/>
      <c r="J398" s="51"/>
      <c r="K398" s="58"/>
      <c r="L398" s="59"/>
      <c r="M398" s="58"/>
      <c r="N398" s="58"/>
      <c r="O398" s="51"/>
      <c r="P398" s="51"/>
      <c r="Q398" s="37"/>
      <c r="R398" s="70"/>
      <c r="S398" s="70"/>
      <c r="T398" s="70"/>
      <c r="U398" s="71"/>
      <c r="V398" s="73"/>
      <c r="W398" s="75"/>
      <c r="X398" s="117"/>
      <c r="Y398" s="111"/>
      <c r="Z398" s="111"/>
      <c r="AH398" s="18"/>
      <c r="AI398" s="18"/>
      <c r="AJ398" s="18"/>
      <c r="AK398" s="18"/>
      <c r="AL398" s="18"/>
      <c r="AM398" s="18"/>
      <c r="AN398" s="18"/>
    </row>
    <row r="399" spans="1:40">
      <c r="A399" s="51"/>
      <c r="B399" s="51"/>
      <c r="C399" s="51"/>
      <c r="D399" s="51"/>
      <c r="E399" s="51"/>
      <c r="F399" s="55"/>
      <c r="G399" s="56"/>
      <c r="H399" s="57"/>
      <c r="I399" s="51"/>
      <c r="J399" s="51"/>
      <c r="K399" s="58"/>
      <c r="L399" s="59"/>
      <c r="M399" s="58"/>
      <c r="N399" s="58"/>
      <c r="O399" s="51"/>
      <c r="P399" s="51"/>
      <c r="Q399" s="37"/>
      <c r="R399" s="70"/>
      <c r="S399" s="70"/>
      <c r="T399" s="70"/>
      <c r="U399" s="71"/>
      <c r="V399" s="73"/>
      <c r="W399" s="75"/>
      <c r="X399" s="117"/>
      <c r="Y399" s="111"/>
      <c r="Z399" s="111"/>
      <c r="AH399" s="18"/>
      <c r="AI399" s="18"/>
      <c r="AJ399" s="18"/>
      <c r="AK399" s="18"/>
      <c r="AL399" s="18"/>
      <c r="AM399" s="18"/>
      <c r="AN399" s="18"/>
    </row>
    <row r="400" spans="1:40">
      <c r="A400" s="51"/>
      <c r="B400" s="51"/>
      <c r="C400" s="51"/>
      <c r="D400" s="51"/>
      <c r="E400" s="51"/>
      <c r="F400" s="55"/>
      <c r="G400" s="56"/>
      <c r="H400" s="57"/>
      <c r="I400" s="51"/>
      <c r="J400" s="51"/>
      <c r="K400" s="58"/>
      <c r="L400" s="59"/>
      <c r="M400" s="58"/>
      <c r="N400" s="58"/>
      <c r="O400" s="51"/>
      <c r="P400" s="51"/>
      <c r="Q400" s="37"/>
      <c r="R400" s="70"/>
      <c r="S400" s="70"/>
      <c r="T400" s="70"/>
      <c r="U400" s="71"/>
      <c r="V400" s="73"/>
      <c r="W400" s="75"/>
      <c r="X400" s="117"/>
      <c r="Y400" s="111"/>
      <c r="Z400" s="111"/>
      <c r="AH400" s="18"/>
      <c r="AI400" s="18"/>
      <c r="AJ400" s="18"/>
      <c r="AK400" s="18"/>
      <c r="AL400" s="18"/>
      <c r="AM400" s="18"/>
      <c r="AN400" s="18"/>
    </row>
    <row r="401" spans="1:40">
      <c r="A401" s="51"/>
      <c r="B401" s="51"/>
      <c r="C401" s="51"/>
      <c r="D401" s="51"/>
      <c r="E401" s="51"/>
      <c r="F401" s="55"/>
      <c r="G401" s="56"/>
      <c r="H401" s="57"/>
      <c r="I401" s="51"/>
      <c r="J401" s="51"/>
      <c r="K401" s="58"/>
      <c r="L401" s="59"/>
      <c r="M401" s="58"/>
      <c r="N401" s="58"/>
      <c r="O401" s="51"/>
      <c r="P401" s="51"/>
      <c r="Q401" s="37"/>
      <c r="R401" s="70"/>
      <c r="S401" s="70"/>
      <c r="T401" s="70"/>
      <c r="U401" s="71"/>
      <c r="V401" s="73"/>
      <c r="W401" s="75"/>
      <c r="X401" s="117"/>
      <c r="Y401" s="111"/>
      <c r="Z401" s="111"/>
      <c r="AH401" s="18"/>
      <c r="AI401" s="18"/>
      <c r="AJ401" s="18"/>
      <c r="AK401" s="18"/>
      <c r="AL401" s="18"/>
      <c r="AM401" s="18"/>
      <c r="AN401" s="18"/>
    </row>
    <row r="402" spans="1:40">
      <c r="A402" s="51"/>
      <c r="B402" s="51"/>
      <c r="C402" s="51"/>
      <c r="D402" s="51"/>
      <c r="E402" s="51"/>
      <c r="F402" s="55"/>
      <c r="G402" s="56"/>
      <c r="H402" s="57"/>
      <c r="I402" s="51"/>
      <c r="J402" s="51"/>
      <c r="K402" s="58"/>
      <c r="L402" s="59"/>
      <c r="M402" s="58"/>
      <c r="N402" s="58"/>
      <c r="O402" s="51"/>
      <c r="P402" s="51"/>
      <c r="Q402" s="37"/>
      <c r="R402" s="70"/>
      <c r="S402" s="70"/>
      <c r="T402" s="70"/>
      <c r="U402" s="71"/>
      <c r="V402" s="73"/>
      <c r="W402" s="75"/>
      <c r="X402" s="117"/>
      <c r="Y402" s="111"/>
      <c r="Z402" s="111"/>
      <c r="AH402" s="18"/>
      <c r="AI402" s="18"/>
      <c r="AJ402" s="18"/>
      <c r="AK402" s="18"/>
      <c r="AL402" s="18"/>
      <c r="AM402" s="18"/>
      <c r="AN402" s="18"/>
    </row>
    <row r="403" spans="1:40">
      <c r="A403" s="51"/>
      <c r="B403" s="51"/>
      <c r="C403" s="51"/>
      <c r="D403" s="51"/>
      <c r="E403" s="51"/>
      <c r="F403" s="55"/>
      <c r="G403" s="56"/>
      <c r="H403" s="57"/>
      <c r="I403" s="51"/>
      <c r="J403" s="51"/>
      <c r="K403" s="58"/>
      <c r="L403" s="59"/>
      <c r="M403" s="58"/>
      <c r="N403" s="58"/>
      <c r="O403" s="51"/>
      <c r="P403" s="51"/>
      <c r="Q403" s="37"/>
      <c r="R403" s="70"/>
      <c r="S403" s="70"/>
      <c r="T403" s="70"/>
      <c r="U403" s="71"/>
      <c r="V403" s="73"/>
      <c r="W403" s="75"/>
      <c r="X403" s="117"/>
      <c r="Y403" s="111"/>
      <c r="Z403" s="111"/>
      <c r="AH403" s="18"/>
      <c r="AI403" s="18"/>
      <c r="AJ403" s="18"/>
      <c r="AK403" s="18"/>
      <c r="AL403" s="18"/>
      <c r="AM403" s="18"/>
      <c r="AN403" s="18"/>
    </row>
    <row r="404" spans="1:40">
      <c r="A404" s="51"/>
      <c r="B404" s="51"/>
      <c r="C404" s="51"/>
      <c r="D404" s="51"/>
      <c r="E404" s="51"/>
      <c r="F404" s="55"/>
      <c r="G404" s="56"/>
      <c r="H404" s="57"/>
      <c r="I404" s="51"/>
      <c r="J404" s="51"/>
      <c r="K404" s="58"/>
      <c r="L404" s="59"/>
      <c r="M404" s="58"/>
      <c r="N404" s="58"/>
      <c r="O404" s="51"/>
      <c r="P404" s="51"/>
      <c r="Q404" s="37"/>
      <c r="R404" s="70"/>
      <c r="S404" s="70"/>
      <c r="T404" s="70"/>
      <c r="U404" s="71"/>
      <c r="V404" s="73"/>
      <c r="W404" s="75"/>
      <c r="X404" s="117"/>
      <c r="Y404" s="111"/>
      <c r="Z404" s="111"/>
      <c r="AH404" s="18"/>
      <c r="AI404" s="18"/>
      <c r="AJ404" s="18"/>
      <c r="AK404" s="18"/>
      <c r="AL404" s="18"/>
      <c r="AM404" s="18"/>
      <c r="AN404" s="18"/>
    </row>
    <row r="405" spans="1:40">
      <c r="A405" s="51"/>
      <c r="B405" s="51"/>
      <c r="C405" s="51"/>
      <c r="D405" s="51"/>
      <c r="E405" s="51"/>
      <c r="F405" s="55"/>
      <c r="G405" s="56"/>
      <c r="H405" s="57"/>
      <c r="I405" s="51"/>
      <c r="J405" s="51"/>
      <c r="K405" s="58"/>
      <c r="L405" s="59"/>
      <c r="M405" s="58"/>
      <c r="N405" s="58"/>
      <c r="O405" s="51"/>
      <c r="P405" s="51"/>
      <c r="Q405" s="37"/>
      <c r="R405" s="70"/>
      <c r="S405" s="70"/>
      <c r="T405" s="70"/>
      <c r="U405" s="71"/>
      <c r="V405" s="73"/>
      <c r="W405" s="75"/>
      <c r="X405" s="117"/>
      <c r="Y405" s="111"/>
      <c r="Z405" s="111"/>
      <c r="AH405" s="18"/>
      <c r="AI405" s="18"/>
      <c r="AJ405" s="18"/>
      <c r="AK405" s="18"/>
      <c r="AL405" s="18"/>
      <c r="AM405" s="18"/>
      <c r="AN405" s="18"/>
    </row>
    <row r="406" spans="1:40">
      <c r="A406" s="51"/>
      <c r="B406" s="51"/>
      <c r="C406" s="51"/>
      <c r="D406" s="51"/>
      <c r="E406" s="51"/>
      <c r="F406" s="55"/>
      <c r="G406" s="56"/>
      <c r="H406" s="57"/>
      <c r="I406" s="51"/>
      <c r="J406" s="51"/>
      <c r="K406" s="58"/>
      <c r="L406" s="59"/>
      <c r="M406" s="58"/>
      <c r="N406" s="58"/>
      <c r="O406" s="51"/>
      <c r="P406" s="51"/>
      <c r="Q406" s="37"/>
      <c r="R406" s="70"/>
      <c r="S406" s="70"/>
      <c r="T406" s="70"/>
      <c r="U406" s="71"/>
      <c r="V406" s="73"/>
      <c r="W406" s="75"/>
      <c r="X406" s="117"/>
      <c r="Y406" s="111"/>
      <c r="Z406" s="111"/>
      <c r="AH406" s="18"/>
      <c r="AI406" s="18"/>
      <c r="AJ406" s="18"/>
      <c r="AK406" s="18"/>
      <c r="AL406" s="18"/>
      <c r="AM406" s="18"/>
      <c r="AN406" s="18"/>
    </row>
    <row r="407" spans="1:40">
      <c r="A407" s="51"/>
      <c r="B407" s="51"/>
      <c r="C407" s="51"/>
      <c r="D407" s="51"/>
      <c r="E407" s="51"/>
      <c r="F407" s="55"/>
      <c r="G407" s="56"/>
      <c r="H407" s="57"/>
      <c r="I407" s="51"/>
      <c r="J407" s="51"/>
      <c r="K407" s="58"/>
      <c r="L407" s="59"/>
      <c r="M407" s="58"/>
      <c r="N407" s="58"/>
      <c r="O407" s="51"/>
      <c r="P407" s="51"/>
      <c r="Q407" s="37"/>
      <c r="R407" s="70"/>
      <c r="S407" s="70"/>
      <c r="T407" s="70"/>
      <c r="U407" s="71"/>
      <c r="V407" s="73"/>
      <c r="W407" s="75"/>
      <c r="X407" s="117"/>
      <c r="Y407" s="111"/>
      <c r="Z407" s="111"/>
      <c r="AH407" s="18"/>
      <c r="AI407" s="18"/>
      <c r="AJ407" s="18"/>
      <c r="AK407" s="18"/>
      <c r="AL407" s="18"/>
      <c r="AM407" s="18"/>
      <c r="AN407" s="18"/>
    </row>
    <row r="408" spans="1:40">
      <c r="A408" s="51"/>
      <c r="B408" s="51"/>
      <c r="C408" s="51"/>
      <c r="D408" s="51"/>
      <c r="E408" s="51"/>
      <c r="F408" s="55"/>
      <c r="G408" s="56"/>
      <c r="H408" s="57"/>
      <c r="I408" s="51"/>
      <c r="J408" s="51"/>
      <c r="K408" s="58"/>
      <c r="L408" s="59"/>
      <c r="M408" s="58"/>
      <c r="N408" s="58"/>
      <c r="O408" s="51"/>
      <c r="P408" s="51"/>
      <c r="Q408" s="37"/>
      <c r="R408" s="70"/>
      <c r="S408" s="70"/>
      <c r="T408" s="70"/>
      <c r="U408" s="71"/>
      <c r="V408" s="73"/>
      <c r="W408" s="75"/>
      <c r="X408" s="117"/>
      <c r="Y408" s="111"/>
      <c r="Z408" s="111"/>
      <c r="AH408" s="18"/>
      <c r="AI408" s="18"/>
      <c r="AJ408" s="18"/>
      <c r="AK408" s="18"/>
      <c r="AL408" s="18"/>
      <c r="AM408" s="18"/>
      <c r="AN408" s="18"/>
    </row>
    <row r="409" spans="1:40">
      <c r="A409" s="51"/>
      <c r="B409" s="51"/>
      <c r="C409" s="51"/>
      <c r="D409" s="51"/>
      <c r="E409" s="51"/>
      <c r="F409" s="55"/>
      <c r="G409" s="56"/>
      <c r="H409" s="57"/>
      <c r="I409" s="51"/>
      <c r="J409" s="51"/>
      <c r="K409" s="58"/>
      <c r="L409" s="59"/>
      <c r="M409" s="58"/>
      <c r="N409" s="58"/>
      <c r="O409" s="51"/>
      <c r="P409" s="51"/>
      <c r="Q409" s="37"/>
      <c r="R409" s="70"/>
      <c r="S409" s="70"/>
      <c r="T409" s="70"/>
      <c r="U409" s="71"/>
      <c r="V409" s="73"/>
      <c r="W409" s="75"/>
      <c r="X409" s="117"/>
      <c r="Y409" s="111"/>
      <c r="Z409" s="111"/>
      <c r="AH409" s="18"/>
      <c r="AI409" s="18"/>
      <c r="AJ409" s="18"/>
      <c r="AK409" s="18"/>
      <c r="AL409" s="18"/>
      <c r="AM409" s="18"/>
      <c r="AN409" s="18"/>
    </row>
    <row r="410" spans="1:40">
      <c r="A410" s="51"/>
      <c r="B410" s="51"/>
      <c r="C410" s="51"/>
      <c r="D410" s="51"/>
      <c r="E410" s="51"/>
      <c r="F410" s="55"/>
      <c r="G410" s="56"/>
      <c r="H410" s="57"/>
      <c r="I410" s="51"/>
      <c r="J410" s="51"/>
      <c r="K410" s="58"/>
      <c r="L410" s="59"/>
      <c r="M410" s="58"/>
      <c r="N410" s="58"/>
      <c r="O410" s="51"/>
      <c r="P410" s="51"/>
      <c r="Q410" s="37"/>
      <c r="R410" s="70"/>
      <c r="S410" s="70"/>
      <c r="T410" s="70"/>
      <c r="U410" s="71"/>
      <c r="V410" s="73"/>
      <c r="W410" s="75"/>
      <c r="X410" s="117"/>
      <c r="Y410" s="111"/>
      <c r="Z410" s="111"/>
      <c r="AH410" s="18"/>
      <c r="AI410" s="18"/>
      <c r="AJ410" s="18"/>
      <c r="AK410" s="18"/>
      <c r="AL410" s="18"/>
      <c r="AM410" s="18"/>
      <c r="AN410" s="18"/>
    </row>
    <row r="411" spans="1:40">
      <c r="A411" s="51"/>
      <c r="B411" s="51"/>
      <c r="C411" s="51"/>
      <c r="D411" s="51"/>
      <c r="E411" s="51"/>
      <c r="F411" s="55"/>
      <c r="G411" s="56"/>
      <c r="H411" s="57"/>
      <c r="I411" s="51"/>
      <c r="J411" s="51"/>
      <c r="K411" s="58"/>
      <c r="L411" s="59"/>
      <c r="M411" s="58"/>
      <c r="N411" s="58"/>
      <c r="O411" s="51"/>
      <c r="P411" s="51"/>
      <c r="Q411" s="37"/>
      <c r="R411" s="70"/>
      <c r="S411" s="70"/>
      <c r="T411" s="70"/>
      <c r="U411" s="71"/>
      <c r="V411" s="73"/>
      <c r="W411" s="75"/>
      <c r="X411" s="117"/>
      <c r="Y411" s="111"/>
      <c r="Z411" s="111"/>
      <c r="AH411" s="18"/>
      <c r="AI411" s="18"/>
      <c r="AJ411" s="18"/>
      <c r="AK411" s="18"/>
      <c r="AL411" s="18"/>
      <c r="AM411" s="18"/>
      <c r="AN411" s="18"/>
    </row>
    <row r="412" spans="1:40">
      <c r="A412" s="51"/>
      <c r="B412" s="51"/>
      <c r="C412" s="51"/>
      <c r="D412" s="51"/>
      <c r="E412" s="51"/>
      <c r="F412" s="55"/>
      <c r="G412" s="56"/>
      <c r="H412" s="57"/>
      <c r="I412" s="51"/>
      <c r="J412" s="51"/>
      <c r="K412" s="58"/>
      <c r="L412" s="59"/>
      <c r="M412" s="58"/>
      <c r="N412" s="58"/>
      <c r="O412" s="51"/>
      <c r="P412" s="51"/>
      <c r="Q412" s="37"/>
      <c r="R412" s="70"/>
      <c r="S412" s="70"/>
      <c r="T412" s="70"/>
      <c r="U412" s="71"/>
      <c r="V412" s="73"/>
      <c r="W412" s="75"/>
      <c r="X412" s="117"/>
      <c r="Y412" s="111"/>
      <c r="Z412" s="111"/>
      <c r="AH412" s="18"/>
      <c r="AI412" s="18"/>
      <c r="AJ412" s="18"/>
      <c r="AK412" s="18"/>
      <c r="AL412" s="18"/>
      <c r="AM412" s="18"/>
      <c r="AN412" s="18"/>
    </row>
    <row r="413" spans="1:40">
      <c r="A413" s="51"/>
      <c r="B413" s="51"/>
      <c r="C413" s="51"/>
      <c r="D413" s="51"/>
      <c r="E413" s="51"/>
      <c r="F413" s="55"/>
      <c r="G413" s="56"/>
      <c r="H413" s="57"/>
      <c r="I413" s="51"/>
      <c r="J413" s="51"/>
      <c r="K413" s="58"/>
      <c r="L413" s="59"/>
      <c r="M413" s="58"/>
      <c r="N413" s="58"/>
      <c r="O413" s="51"/>
      <c r="P413" s="51"/>
      <c r="Q413" s="37"/>
      <c r="R413" s="70"/>
      <c r="S413" s="70"/>
      <c r="T413" s="70"/>
      <c r="U413" s="71"/>
      <c r="V413" s="73"/>
      <c r="W413" s="75"/>
      <c r="X413" s="117"/>
      <c r="Y413" s="111"/>
      <c r="Z413" s="111"/>
      <c r="AH413" s="18"/>
      <c r="AI413" s="18"/>
      <c r="AJ413" s="18"/>
      <c r="AK413" s="18"/>
      <c r="AL413" s="18"/>
      <c r="AM413" s="18"/>
      <c r="AN413" s="18"/>
    </row>
    <row r="414" spans="1:40">
      <c r="A414" s="51"/>
      <c r="B414" s="51"/>
      <c r="C414" s="51"/>
      <c r="D414" s="51"/>
      <c r="E414" s="51"/>
      <c r="F414" s="55"/>
      <c r="G414" s="56"/>
      <c r="H414" s="57"/>
      <c r="I414" s="51"/>
      <c r="J414" s="51"/>
      <c r="K414" s="58"/>
      <c r="L414" s="59"/>
      <c r="M414" s="58"/>
      <c r="N414" s="58"/>
      <c r="O414" s="51"/>
      <c r="P414" s="51"/>
      <c r="Q414" s="37"/>
      <c r="R414" s="70"/>
      <c r="S414" s="70"/>
      <c r="T414" s="70"/>
      <c r="U414" s="71"/>
      <c r="V414" s="73"/>
      <c r="W414" s="75"/>
      <c r="X414" s="117"/>
      <c r="Y414" s="111"/>
      <c r="Z414" s="111"/>
      <c r="AH414" s="18"/>
      <c r="AI414" s="18"/>
      <c r="AJ414" s="18"/>
      <c r="AK414" s="18"/>
      <c r="AL414" s="18"/>
      <c r="AM414" s="18"/>
      <c r="AN414" s="18"/>
    </row>
    <row r="415" spans="1:40">
      <c r="A415" s="51"/>
      <c r="B415" s="51"/>
      <c r="C415" s="51"/>
      <c r="D415" s="51"/>
      <c r="E415" s="51"/>
      <c r="F415" s="55"/>
      <c r="G415" s="56"/>
      <c r="H415" s="57"/>
      <c r="I415" s="51"/>
      <c r="J415" s="51"/>
      <c r="K415" s="58"/>
      <c r="L415" s="59"/>
      <c r="M415" s="58"/>
      <c r="N415" s="58"/>
      <c r="O415" s="51"/>
      <c r="P415" s="51"/>
      <c r="Q415" s="37"/>
      <c r="R415" s="70"/>
      <c r="S415" s="70"/>
      <c r="T415" s="70"/>
      <c r="U415" s="71"/>
      <c r="V415" s="73"/>
      <c r="W415" s="75"/>
      <c r="X415" s="117"/>
      <c r="Y415" s="111"/>
      <c r="Z415" s="111"/>
      <c r="AH415" s="18"/>
      <c r="AI415" s="18"/>
      <c r="AJ415" s="18"/>
      <c r="AK415" s="18"/>
      <c r="AL415" s="18"/>
      <c r="AM415" s="18"/>
      <c r="AN415" s="18"/>
    </row>
    <row r="416" spans="1:40">
      <c r="A416" s="51"/>
      <c r="B416" s="51"/>
      <c r="C416" s="51"/>
      <c r="D416" s="51"/>
      <c r="E416" s="51"/>
      <c r="F416" s="55"/>
      <c r="G416" s="56"/>
      <c r="H416" s="57"/>
      <c r="I416" s="51"/>
      <c r="J416" s="51"/>
      <c r="K416" s="58"/>
      <c r="L416" s="59"/>
      <c r="M416" s="58"/>
      <c r="N416" s="58"/>
      <c r="O416" s="51"/>
      <c r="P416" s="51"/>
      <c r="Q416" s="37"/>
      <c r="R416" s="70"/>
      <c r="S416" s="70"/>
      <c r="T416" s="70"/>
      <c r="U416" s="71"/>
      <c r="V416" s="73"/>
      <c r="W416" s="75"/>
      <c r="X416" s="117"/>
      <c r="Y416" s="111"/>
      <c r="Z416" s="111"/>
      <c r="AH416" s="18"/>
      <c r="AI416" s="18"/>
      <c r="AJ416" s="18"/>
      <c r="AK416" s="18"/>
      <c r="AL416" s="18"/>
      <c r="AM416" s="18"/>
      <c r="AN416" s="18"/>
    </row>
    <row r="417" spans="1:40">
      <c r="A417" s="51"/>
      <c r="B417" s="51"/>
      <c r="C417" s="51"/>
      <c r="D417" s="51"/>
      <c r="E417" s="51"/>
      <c r="F417" s="55"/>
      <c r="G417" s="56"/>
      <c r="H417" s="57"/>
      <c r="I417" s="51"/>
      <c r="J417" s="51"/>
      <c r="K417" s="58"/>
      <c r="L417" s="59"/>
      <c r="M417" s="58"/>
      <c r="N417" s="58"/>
      <c r="O417" s="51"/>
      <c r="P417" s="51"/>
      <c r="Q417" s="37"/>
      <c r="R417" s="70"/>
      <c r="S417" s="70"/>
      <c r="T417" s="70"/>
      <c r="U417" s="71"/>
      <c r="V417" s="73"/>
      <c r="W417" s="75"/>
      <c r="X417" s="117"/>
      <c r="Y417" s="111"/>
      <c r="Z417" s="111"/>
      <c r="AH417" s="18"/>
      <c r="AI417" s="18"/>
      <c r="AJ417" s="18"/>
      <c r="AK417" s="18"/>
      <c r="AL417" s="18"/>
      <c r="AM417" s="18"/>
      <c r="AN417" s="18"/>
    </row>
    <row r="418" spans="1:40">
      <c r="A418" s="51"/>
      <c r="B418" s="51"/>
      <c r="C418" s="51"/>
      <c r="D418" s="51"/>
      <c r="E418" s="51"/>
      <c r="F418" s="55"/>
      <c r="G418" s="56"/>
      <c r="H418" s="57"/>
      <c r="I418" s="51"/>
      <c r="J418" s="51"/>
      <c r="K418" s="58"/>
      <c r="L418" s="59"/>
      <c r="M418" s="58"/>
      <c r="N418" s="58"/>
      <c r="O418" s="51"/>
      <c r="P418" s="51"/>
      <c r="Q418" s="37"/>
      <c r="R418" s="70"/>
      <c r="S418" s="70"/>
      <c r="T418" s="70"/>
      <c r="U418" s="71"/>
      <c r="V418" s="73"/>
      <c r="W418" s="75"/>
      <c r="X418" s="117"/>
      <c r="Y418" s="111"/>
      <c r="Z418" s="111"/>
      <c r="AH418" s="18"/>
      <c r="AI418" s="18"/>
      <c r="AJ418" s="18"/>
      <c r="AK418" s="18"/>
      <c r="AL418" s="18"/>
      <c r="AM418" s="18"/>
      <c r="AN418" s="18"/>
    </row>
    <row r="419" spans="1:40">
      <c r="A419" s="51"/>
      <c r="B419" s="51"/>
      <c r="C419" s="51"/>
      <c r="D419" s="51"/>
      <c r="E419" s="51"/>
      <c r="F419" s="55"/>
      <c r="G419" s="56"/>
      <c r="H419" s="57"/>
      <c r="I419" s="51"/>
      <c r="J419" s="51"/>
      <c r="K419" s="58"/>
      <c r="L419" s="59"/>
      <c r="M419" s="58"/>
      <c r="N419" s="58"/>
      <c r="O419" s="51"/>
      <c r="P419" s="51"/>
      <c r="Q419" s="37"/>
      <c r="R419" s="70"/>
      <c r="S419" s="70"/>
      <c r="T419" s="70"/>
      <c r="U419" s="71"/>
      <c r="V419" s="73"/>
      <c r="W419" s="75"/>
      <c r="X419" s="117"/>
      <c r="Y419" s="111"/>
      <c r="Z419" s="111"/>
      <c r="AH419" s="18"/>
      <c r="AI419" s="18"/>
      <c r="AJ419" s="18"/>
      <c r="AK419" s="18"/>
      <c r="AL419" s="18"/>
      <c r="AM419" s="18"/>
      <c r="AN419" s="18"/>
    </row>
    <row r="420" spans="1:40">
      <c r="A420" s="51"/>
      <c r="B420" s="51"/>
      <c r="C420" s="51"/>
      <c r="D420" s="51"/>
      <c r="E420" s="51"/>
      <c r="F420" s="55"/>
      <c r="G420" s="56"/>
      <c r="H420" s="57"/>
      <c r="I420" s="51"/>
      <c r="J420" s="51"/>
      <c r="K420" s="58"/>
      <c r="L420" s="59"/>
      <c r="M420" s="58"/>
      <c r="N420" s="58"/>
      <c r="O420" s="51"/>
      <c r="P420" s="51"/>
      <c r="Q420" s="37"/>
      <c r="R420" s="70"/>
      <c r="S420" s="70"/>
      <c r="T420" s="70"/>
      <c r="U420" s="71"/>
      <c r="V420" s="73"/>
      <c r="W420" s="75"/>
      <c r="X420" s="117"/>
      <c r="Y420" s="111"/>
      <c r="Z420" s="111"/>
      <c r="AH420" s="18"/>
      <c r="AI420" s="18"/>
      <c r="AJ420" s="18"/>
      <c r="AK420" s="18"/>
      <c r="AL420" s="18"/>
      <c r="AM420" s="18"/>
      <c r="AN420" s="18"/>
    </row>
    <row r="421" spans="1:40">
      <c r="A421" s="51"/>
      <c r="B421" s="51"/>
      <c r="C421" s="51"/>
      <c r="D421" s="51"/>
      <c r="E421" s="51"/>
      <c r="F421" s="55"/>
      <c r="G421" s="56"/>
      <c r="H421" s="57"/>
      <c r="I421" s="51"/>
      <c r="J421" s="51"/>
      <c r="K421" s="58"/>
      <c r="L421" s="59"/>
      <c r="M421" s="58"/>
      <c r="N421" s="58"/>
      <c r="O421" s="51"/>
      <c r="P421" s="51"/>
      <c r="Q421" s="37"/>
      <c r="R421" s="70"/>
      <c r="S421" s="70"/>
      <c r="T421" s="70"/>
      <c r="U421" s="71"/>
      <c r="V421" s="73"/>
      <c r="W421" s="75"/>
      <c r="X421" s="117"/>
      <c r="Y421" s="111"/>
      <c r="Z421" s="111"/>
      <c r="AH421" s="18"/>
      <c r="AI421" s="18"/>
      <c r="AJ421" s="18"/>
      <c r="AK421" s="18"/>
      <c r="AL421" s="18"/>
      <c r="AM421" s="18"/>
      <c r="AN421" s="18"/>
    </row>
    <row r="422" spans="1:40">
      <c r="A422" s="51"/>
      <c r="B422" s="51"/>
      <c r="C422" s="51"/>
      <c r="D422" s="51"/>
      <c r="E422" s="51"/>
      <c r="F422" s="55"/>
      <c r="G422" s="56"/>
      <c r="H422" s="57"/>
      <c r="I422" s="51"/>
      <c r="J422" s="51"/>
      <c r="K422" s="58"/>
      <c r="L422" s="59"/>
      <c r="M422" s="58"/>
      <c r="N422" s="58"/>
      <c r="O422" s="51"/>
      <c r="P422" s="51"/>
      <c r="Q422" s="37"/>
      <c r="R422" s="70"/>
      <c r="S422" s="70"/>
      <c r="T422" s="70"/>
      <c r="U422" s="71"/>
      <c r="V422" s="73"/>
      <c r="W422" s="75"/>
      <c r="X422" s="117"/>
      <c r="Y422" s="111"/>
      <c r="Z422" s="111"/>
      <c r="AH422" s="18"/>
      <c r="AI422" s="18"/>
      <c r="AJ422" s="18"/>
      <c r="AK422" s="18"/>
      <c r="AL422" s="18"/>
      <c r="AM422" s="18"/>
      <c r="AN422" s="18"/>
    </row>
    <row r="423" spans="1:40">
      <c r="A423" s="51"/>
      <c r="B423" s="51"/>
      <c r="C423" s="51"/>
      <c r="D423" s="51"/>
      <c r="E423" s="51"/>
      <c r="F423" s="55"/>
      <c r="G423" s="56"/>
      <c r="H423" s="57"/>
      <c r="I423" s="51"/>
      <c r="J423" s="51"/>
      <c r="K423" s="58"/>
      <c r="L423" s="59"/>
      <c r="M423" s="58"/>
      <c r="N423" s="58"/>
      <c r="O423" s="51"/>
      <c r="P423" s="51"/>
      <c r="Q423" s="37"/>
      <c r="R423" s="70"/>
      <c r="S423" s="70"/>
      <c r="T423" s="70"/>
      <c r="U423" s="71"/>
      <c r="V423" s="73"/>
      <c r="W423" s="75"/>
      <c r="X423" s="117"/>
      <c r="Y423" s="111"/>
      <c r="Z423" s="111"/>
      <c r="AH423" s="18"/>
      <c r="AI423" s="18"/>
      <c r="AJ423" s="18"/>
      <c r="AK423" s="18"/>
      <c r="AL423" s="18"/>
      <c r="AM423" s="18"/>
      <c r="AN423" s="18"/>
    </row>
    <row r="424" spans="1:40">
      <c r="A424" s="51"/>
      <c r="B424" s="51"/>
      <c r="C424" s="51"/>
      <c r="D424" s="51"/>
      <c r="E424" s="51"/>
      <c r="F424" s="55"/>
      <c r="G424" s="56"/>
      <c r="H424" s="57"/>
      <c r="I424" s="51"/>
      <c r="J424" s="51"/>
      <c r="K424" s="58"/>
      <c r="L424" s="59"/>
      <c r="M424" s="58"/>
      <c r="N424" s="58"/>
      <c r="O424" s="51"/>
      <c r="P424" s="51"/>
      <c r="Q424" s="37"/>
      <c r="R424" s="70"/>
      <c r="S424" s="70"/>
      <c r="T424" s="70"/>
      <c r="U424" s="71"/>
      <c r="V424" s="73"/>
      <c r="W424" s="75"/>
      <c r="X424" s="117"/>
      <c r="Y424" s="111"/>
      <c r="Z424" s="111"/>
      <c r="AH424" s="18"/>
      <c r="AI424" s="18"/>
      <c r="AJ424" s="18"/>
      <c r="AK424" s="18"/>
      <c r="AL424" s="18"/>
      <c r="AM424" s="18"/>
      <c r="AN424" s="18"/>
    </row>
    <row r="425" spans="1:40">
      <c r="A425" s="51"/>
      <c r="B425" s="51"/>
      <c r="C425" s="51"/>
      <c r="D425" s="51"/>
      <c r="E425" s="51"/>
      <c r="F425" s="55"/>
      <c r="G425" s="56"/>
      <c r="H425" s="57"/>
      <c r="I425" s="51"/>
      <c r="J425" s="51"/>
      <c r="K425" s="58"/>
      <c r="L425" s="59"/>
      <c r="M425" s="58"/>
      <c r="N425" s="58"/>
      <c r="O425" s="51"/>
      <c r="P425" s="51"/>
      <c r="Q425" s="37"/>
      <c r="R425" s="70"/>
      <c r="S425" s="70"/>
      <c r="T425" s="70"/>
      <c r="U425" s="71"/>
      <c r="V425" s="73"/>
      <c r="W425" s="75"/>
      <c r="X425" s="117"/>
      <c r="Y425" s="111"/>
      <c r="Z425" s="111"/>
      <c r="AH425" s="18"/>
      <c r="AI425" s="18"/>
      <c r="AJ425" s="18"/>
      <c r="AK425" s="18"/>
      <c r="AL425" s="18"/>
      <c r="AM425" s="18"/>
      <c r="AN425" s="18"/>
    </row>
    <row r="426" spans="1:40">
      <c r="A426" s="51"/>
      <c r="B426" s="51"/>
      <c r="C426" s="51"/>
      <c r="D426" s="51"/>
      <c r="E426" s="51"/>
      <c r="F426" s="55"/>
      <c r="G426" s="56"/>
      <c r="H426" s="57"/>
      <c r="I426" s="51"/>
      <c r="J426" s="51"/>
      <c r="K426" s="58"/>
      <c r="L426" s="59"/>
      <c r="M426" s="58"/>
      <c r="N426" s="58"/>
      <c r="O426" s="51"/>
      <c r="P426" s="51"/>
      <c r="Q426" s="37"/>
      <c r="R426" s="70"/>
      <c r="S426" s="70"/>
      <c r="T426" s="70"/>
      <c r="U426" s="71"/>
      <c r="V426" s="73"/>
      <c r="W426" s="75"/>
      <c r="X426" s="117"/>
      <c r="Y426" s="111"/>
      <c r="Z426" s="111"/>
      <c r="AH426" s="18"/>
      <c r="AI426" s="18"/>
      <c r="AJ426" s="18"/>
      <c r="AK426" s="18"/>
      <c r="AL426" s="18"/>
      <c r="AM426" s="18"/>
      <c r="AN426" s="18"/>
    </row>
    <row r="427" spans="1:40">
      <c r="A427" s="51"/>
      <c r="B427" s="51"/>
      <c r="C427" s="51"/>
      <c r="D427" s="51"/>
      <c r="E427" s="51"/>
      <c r="F427" s="55"/>
      <c r="G427" s="56"/>
      <c r="H427" s="57"/>
      <c r="I427" s="51"/>
      <c r="J427" s="51"/>
      <c r="K427" s="58"/>
      <c r="L427" s="59"/>
      <c r="M427" s="58"/>
      <c r="N427" s="58"/>
      <c r="O427" s="51"/>
      <c r="P427" s="51"/>
      <c r="Q427" s="37"/>
      <c r="R427" s="70"/>
      <c r="S427" s="70"/>
      <c r="T427" s="70"/>
      <c r="U427" s="71"/>
      <c r="V427" s="73"/>
      <c r="W427" s="75"/>
      <c r="X427" s="117"/>
      <c r="Y427" s="111"/>
      <c r="Z427" s="111"/>
      <c r="AH427" s="18"/>
      <c r="AI427" s="18"/>
      <c r="AJ427" s="18"/>
      <c r="AK427" s="18"/>
      <c r="AL427" s="18"/>
      <c r="AM427" s="18"/>
      <c r="AN427" s="18"/>
    </row>
    <row r="428" spans="1:40">
      <c r="A428" s="51"/>
      <c r="B428" s="51"/>
      <c r="C428" s="51"/>
      <c r="D428" s="51"/>
      <c r="E428" s="51"/>
      <c r="F428" s="55"/>
      <c r="G428" s="56"/>
      <c r="H428" s="57"/>
      <c r="I428" s="51"/>
      <c r="J428" s="51"/>
      <c r="K428" s="58"/>
      <c r="L428" s="59"/>
      <c r="M428" s="58"/>
      <c r="N428" s="58"/>
      <c r="O428" s="51"/>
      <c r="P428" s="51"/>
      <c r="Q428" s="37"/>
      <c r="R428" s="70"/>
      <c r="S428" s="70"/>
      <c r="T428" s="70"/>
      <c r="U428" s="71"/>
      <c r="V428" s="73"/>
      <c r="W428" s="75"/>
      <c r="X428" s="117"/>
      <c r="Y428" s="111"/>
      <c r="Z428" s="111"/>
      <c r="AH428" s="18"/>
      <c r="AI428" s="18"/>
      <c r="AJ428" s="18"/>
      <c r="AK428" s="18"/>
      <c r="AL428" s="18"/>
      <c r="AM428" s="18"/>
      <c r="AN428" s="18"/>
    </row>
    <row r="429" spans="1:40">
      <c r="A429" s="51"/>
      <c r="B429" s="51"/>
      <c r="C429" s="51"/>
      <c r="D429" s="51"/>
      <c r="E429" s="51"/>
      <c r="F429" s="55"/>
      <c r="G429" s="56"/>
      <c r="H429" s="57"/>
      <c r="I429" s="51"/>
      <c r="J429" s="51"/>
      <c r="K429" s="58"/>
      <c r="L429" s="59"/>
      <c r="M429" s="58"/>
      <c r="N429" s="58"/>
      <c r="O429" s="51"/>
      <c r="P429" s="51"/>
      <c r="Q429" s="37"/>
      <c r="R429" s="70"/>
      <c r="S429" s="70"/>
      <c r="T429" s="70"/>
      <c r="U429" s="71"/>
      <c r="V429" s="73"/>
      <c r="W429" s="75"/>
      <c r="X429" s="117"/>
      <c r="Y429" s="111"/>
      <c r="Z429" s="111"/>
      <c r="AH429" s="18"/>
      <c r="AI429" s="18"/>
      <c r="AJ429" s="18"/>
      <c r="AK429" s="18"/>
      <c r="AL429" s="18"/>
      <c r="AM429" s="18"/>
      <c r="AN429" s="18"/>
    </row>
    <row r="430" spans="1:40">
      <c r="A430" s="51"/>
      <c r="B430" s="51"/>
      <c r="C430" s="51"/>
      <c r="D430" s="51"/>
      <c r="E430" s="51"/>
      <c r="F430" s="55"/>
      <c r="G430" s="56"/>
      <c r="H430" s="57"/>
      <c r="I430" s="51"/>
      <c r="J430" s="51"/>
      <c r="K430" s="58"/>
      <c r="L430" s="59"/>
      <c r="M430" s="58"/>
      <c r="N430" s="58"/>
      <c r="O430" s="51"/>
      <c r="P430" s="51"/>
      <c r="Q430" s="37"/>
      <c r="R430" s="70"/>
      <c r="S430" s="70"/>
      <c r="T430" s="70"/>
      <c r="U430" s="71"/>
      <c r="V430" s="73"/>
      <c r="W430" s="75"/>
      <c r="X430" s="117"/>
      <c r="Y430" s="111"/>
      <c r="Z430" s="111"/>
      <c r="AH430" s="18"/>
      <c r="AI430" s="18"/>
      <c r="AJ430" s="18"/>
      <c r="AK430" s="18"/>
      <c r="AL430" s="18"/>
      <c r="AM430" s="18"/>
      <c r="AN430" s="18"/>
    </row>
    <row r="431" spans="1:40">
      <c r="A431" s="51"/>
      <c r="B431" s="51"/>
      <c r="C431" s="51"/>
      <c r="D431" s="51"/>
      <c r="E431" s="51"/>
      <c r="F431" s="55"/>
      <c r="G431" s="56"/>
      <c r="H431" s="57"/>
      <c r="I431" s="51"/>
      <c r="J431" s="51"/>
      <c r="K431" s="58"/>
      <c r="L431" s="59"/>
      <c r="M431" s="58"/>
      <c r="N431" s="58"/>
      <c r="O431" s="51"/>
      <c r="P431" s="51"/>
      <c r="Q431" s="37"/>
      <c r="R431" s="70"/>
      <c r="S431" s="70"/>
      <c r="T431" s="70"/>
      <c r="U431" s="71"/>
      <c r="V431" s="73"/>
      <c r="W431" s="75"/>
      <c r="X431" s="117"/>
      <c r="Y431" s="111"/>
      <c r="Z431" s="111"/>
      <c r="AH431" s="18"/>
      <c r="AI431" s="18"/>
      <c r="AJ431" s="18"/>
      <c r="AK431" s="18"/>
      <c r="AL431" s="18"/>
      <c r="AM431" s="18"/>
      <c r="AN431" s="18"/>
    </row>
    <row r="432" spans="1:40">
      <c r="A432" s="51"/>
      <c r="B432" s="51"/>
      <c r="C432" s="51"/>
      <c r="D432" s="51"/>
      <c r="E432" s="51"/>
      <c r="F432" s="55"/>
      <c r="G432" s="56"/>
      <c r="H432" s="57"/>
      <c r="I432" s="51"/>
      <c r="J432" s="51"/>
      <c r="K432" s="58"/>
      <c r="L432" s="59"/>
      <c r="M432" s="58"/>
      <c r="N432" s="58"/>
      <c r="O432" s="51"/>
      <c r="P432" s="51"/>
      <c r="Q432" s="37"/>
      <c r="R432" s="70"/>
      <c r="S432" s="70"/>
      <c r="T432" s="70"/>
      <c r="U432" s="71"/>
      <c r="V432" s="73"/>
      <c r="W432" s="75"/>
      <c r="X432" s="117"/>
      <c r="Y432" s="111"/>
      <c r="Z432" s="111"/>
      <c r="AH432" s="18"/>
      <c r="AI432" s="18"/>
      <c r="AJ432" s="18"/>
      <c r="AK432" s="18"/>
      <c r="AL432" s="18"/>
      <c r="AM432" s="18"/>
      <c r="AN432" s="18"/>
    </row>
    <row r="433" spans="1:40">
      <c r="A433" s="51"/>
      <c r="B433" s="51"/>
      <c r="C433" s="51"/>
      <c r="D433" s="51"/>
      <c r="E433" s="51"/>
      <c r="F433" s="55"/>
      <c r="G433" s="56"/>
      <c r="H433" s="57"/>
      <c r="I433" s="51"/>
      <c r="J433" s="51"/>
      <c r="K433" s="58"/>
      <c r="L433" s="59"/>
      <c r="M433" s="58"/>
      <c r="N433" s="58"/>
      <c r="O433" s="51"/>
      <c r="P433" s="51"/>
      <c r="Q433" s="37"/>
      <c r="R433" s="70"/>
      <c r="S433" s="70"/>
      <c r="T433" s="70"/>
      <c r="U433" s="71"/>
      <c r="V433" s="73"/>
      <c r="W433" s="75"/>
      <c r="X433" s="117"/>
      <c r="Y433" s="111"/>
      <c r="Z433" s="111"/>
      <c r="AH433" s="18"/>
      <c r="AI433" s="18"/>
      <c r="AJ433" s="18"/>
      <c r="AK433" s="18"/>
      <c r="AL433" s="18"/>
      <c r="AM433" s="18"/>
      <c r="AN433" s="18"/>
    </row>
    <row r="434" spans="1:40">
      <c r="A434" s="51"/>
      <c r="B434" s="51"/>
      <c r="C434" s="51"/>
      <c r="D434" s="51"/>
      <c r="E434" s="51"/>
      <c r="F434" s="55"/>
      <c r="G434" s="56"/>
      <c r="H434" s="57"/>
      <c r="I434" s="51"/>
      <c r="J434" s="51"/>
      <c r="K434" s="58"/>
      <c r="L434" s="59"/>
      <c r="M434" s="58"/>
      <c r="N434" s="58"/>
      <c r="O434" s="51"/>
      <c r="P434" s="51"/>
      <c r="Q434" s="37"/>
      <c r="R434" s="70"/>
      <c r="S434" s="70"/>
      <c r="T434" s="70"/>
      <c r="U434" s="71"/>
      <c r="V434" s="73"/>
      <c r="W434" s="75"/>
      <c r="X434" s="117"/>
      <c r="Y434" s="111"/>
      <c r="Z434" s="111"/>
      <c r="AH434" s="18"/>
      <c r="AI434" s="18"/>
      <c r="AJ434" s="18"/>
      <c r="AK434" s="18"/>
      <c r="AL434" s="18"/>
      <c r="AM434" s="18"/>
      <c r="AN434" s="18"/>
    </row>
    <row r="435" spans="1:40">
      <c r="A435" s="51"/>
      <c r="B435" s="51"/>
      <c r="C435" s="51"/>
      <c r="D435" s="51"/>
      <c r="E435" s="51"/>
      <c r="F435" s="55"/>
      <c r="G435" s="56"/>
      <c r="H435" s="57"/>
      <c r="I435" s="51"/>
      <c r="J435" s="51"/>
      <c r="K435" s="58"/>
      <c r="L435" s="59"/>
      <c r="M435" s="58"/>
      <c r="N435" s="58"/>
      <c r="O435" s="51"/>
      <c r="P435" s="51"/>
      <c r="Q435" s="37"/>
      <c r="R435" s="70"/>
      <c r="S435" s="70"/>
      <c r="T435" s="70"/>
      <c r="U435" s="71"/>
      <c r="V435" s="73"/>
      <c r="W435" s="75"/>
      <c r="X435" s="117"/>
      <c r="Y435" s="111"/>
      <c r="Z435" s="111"/>
      <c r="AH435" s="18"/>
      <c r="AI435" s="18"/>
      <c r="AJ435" s="18"/>
      <c r="AK435" s="18"/>
      <c r="AL435" s="18"/>
      <c r="AM435" s="18"/>
      <c r="AN435" s="18"/>
    </row>
    <row r="436" spans="1:40">
      <c r="A436" s="51"/>
      <c r="B436" s="51"/>
      <c r="C436" s="51"/>
      <c r="D436" s="51"/>
      <c r="E436" s="51"/>
      <c r="F436" s="55"/>
      <c r="G436" s="56"/>
      <c r="H436" s="57"/>
      <c r="I436" s="51"/>
      <c r="J436" s="51"/>
      <c r="K436" s="58"/>
      <c r="L436" s="59"/>
      <c r="M436" s="58"/>
      <c r="N436" s="58"/>
      <c r="O436" s="51"/>
      <c r="P436" s="51"/>
      <c r="Q436" s="37"/>
      <c r="R436" s="70"/>
      <c r="S436" s="70"/>
      <c r="T436" s="70"/>
      <c r="U436" s="71"/>
      <c r="V436" s="73"/>
      <c r="W436" s="75"/>
      <c r="X436" s="117"/>
      <c r="Y436" s="111"/>
      <c r="Z436" s="111"/>
      <c r="AH436" s="18"/>
      <c r="AI436" s="18"/>
      <c r="AJ436" s="18"/>
      <c r="AK436" s="18"/>
      <c r="AL436" s="18"/>
      <c r="AM436" s="18"/>
      <c r="AN436" s="18"/>
    </row>
    <row r="437" spans="1:40">
      <c r="A437" s="51"/>
      <c r="B437" s="51"/>
      <c r="C437" s="51"/>
      <c r="D437" s="51"/>
      <c r="E437" s="51"/>
      <c r="F437" s="55"/>
      <c r="G437" s="56"/>
      <c r="H437" s="57"/>
      <c r="I437" s="51"/>
      <c r="J437" s="51"/>
      <c r="K437" s="58"/>
      <c r="L437" s="59"/>
      <c r="M437" s="58"/>
      <c r="N437" s="58"/>
      <c r="O437" s="51"/>
      <c r="P437" s="51"/>
      <c r="Q437" s="37"/>
      <c r="R437" s="70"/>
      <c r="S437" s="70"/>
      <c r="T437" s="70"/>
      <c r="U437" s="71"/>
      <c r="V437" s="73"/>
      <c r="W437" s="75"/>
      <c r="X437" s="117"/>
      <c r="Y437" s="111"/>
      <c r="Z437" s="111"/>
      <c r="AH437" s="18"/>
      <c r="AI437" s="18"/>
      <c r="AJ437" s="18"/>
      <c r="AK437" s="18"/>
      <c r="AL437" s="18"/>
      <c r="AM437" s="18"/>
      <c r="AN437" s="18"/>
    </row>
    <row r="438" spans="1:40">
      <c r="A438" s="51"/>
      <c r="B438" s="51"/>
      <c r="C438" s="51"/>
      <c r="D438" s="51"/>
      <c r="E438" s="51"/>
      <c r="F438" s="55"/>
      <c r="G438" s="56"/>
      <c r="H438" s="57"/>
      <c r="I438" s="51"/>
      <c r="J438" s="51"/>
      <c r="K438" s="58"/>
      <c r="L438" s="59"/>
      <c r="M438" s="58"/>
      <c r="N438" s="58"/>
      <c r="O438" s="51"/>
      <c r="P438" s="51"/>
      <c r="Q438" s="37"/>
      <c r="R438" s="70"/>
      <c r="S438" s="70"/>
      <c r="T438" s="70"/>
      <c r="U438" s="71"/>
      <c r="V438" s="73"/>
      <c r="W438" s="75"/>
      <c r="X438" s="117"/>
      <c r="Y438" s="111"/>
      <c r="Z438" s="111"/>
      <c r="AH438" s="18"/>
      <c r="AI438" s="18"/>
      <c r="AJ438" s="18"/>
      <c r="AK438" s="18"/>
      <c r="AL438" s="18"/>
      <c r="AM438" s="18"/>
      <c r="AN438" s="18"/>
    </row>
    <row r="439" spans="1:40">
      <c r="A439" s="51"/>
      <c r="B439" s="51"/>
      <c r="C439" s="51"/>
      <c r="D439" s="51"/>
      <c r="E439" s="51"/>
      <c r="F439" s="55"/>
      <c r="G439" s="56"/>
      <c r="H439" s="57"/>
      <c r="I439" s="51"/>
      <c r="J439" s="51"/>
      <c r="K439" s="58"/>
      <c r="L439" s="59"/>
      <c r="M439" s="58"/>
      <c r="N439" s="58"/>
      <c r="O439" s="51"/>
      <c r="P439" s="51"/>
      <c r="Q439" s="37"/>
      <c r="R439" s="70"/>
      <c r="S439" s="70"/>
      <c r="T439" s="70"/>
      <c r="U439" s="71"/>
      <c r="V439" s="73"/>
      <c r="W439" s="75"/>
      <c r="X439" s="117"/>
      <c r="Y439" s="111"/>
      <c r="Z439" s="111"/>
      <c r="AH439" s="18"/>
      <c r="AI439" s="18"/>
      <c r="AJ439" s="18"/>
      <c r="AK439" s="18"/>
      <c r="AL439" s="18"/>
      <c r="AM439" s="18"/>
      <c r="AN439" s="18"/>
    </row>
    <row r="440" spans="1:40">
      <c r="A440" s="51"/>
      <c r="B440" s="51"/>
      <c r="C440" s="51"/>
      <c r="D440" s="51"/>
      <c r="E440" s="51"/>
      <c r="F440" s="55"/>
      <c r="G440" s="56"/>
      <c r="H440" s="57"/>
      <c r="I440" s="51"/>
      <c r="J440" s="51"/>
      <c r="K440" s="58"/>
      <c r="L440" s="59"/>
      <c r="M440" s="58"/>
      <c r="N440" s="58"/>
      <c r="O440" s="51"/>
      <c r="P440" s="51"/>
      <c r="Q440" s="37"/>
      <c r="R440" s="70"/>
      <c r="S440" s="70"/>
      <c r="T440" s="70"/>
      <c r="U440" s="71"/>
      <c r="V440" s="73"/>
      <c r="W440" s="75"/>
      <c r="X440" s="117"/>
      <c r="Y440" s="111"/>
      <c r="Z440" s="111"/>
      <c r="AH440" s="18"/>
      <c r="AI440" s="18"/>
      <c r="AJ440" s="18"/>
      <c r="AK440" s="18"/>
      <c r="AL440" s="18"/>
      <c r="AM440" s="18"/>
      <c r="AN440" s="18"/>
    </row>
    <row r="441" spans="1:40">
      <c r="A441" s="51"/>
      <c r="B441" s="51"/>
      <c r="C441" s="51"/>
      <c r="D441" s="51"/>
      <c r="E441" s="51"/>
      <c r="F441" s="55"/>
      <c r="G441" s="56"/>
      <c r="H441" s="57"/>
      <c r="I441" s="51"/>
      <c r="J441" s="51"/>
      <c r="K441" s="58"/>
      <c r="L441" s="59"/>
      <c r="M441" s="58"/>
      <c r="N441" s="58"/>
      <c r="O441" s="51"/>
      <c r="P441" s="51"/>
      <c r="Q441" s="37"/>
      <c r="R441" s="70"/>
      <c r="S441" s="70"/>
      <c r="T441" s="70"/>
      <c r="U441" s="71"/>
      <c r="V441" s="73"/>
      <c r="W441" s="75"/>
      <c r="X441" s="117"/>
      <c r="Y441" s="111"/>
      <c r="Z441" s="111"/>
      <c r="AH441" s="18"/>
      <c r="AI441" s="18"/>
      <c r="AJ441" s="18"/>
      <c r="AK441" s="18"/>
      <c r="AL441" s="18"/>
      <c r="AM441" s="18"/>
      <c r="AN441" s="18"/>
    </row>
    <row r="442" spans="1:40">
      <c r="A442" s="51"/>
      <c r="B442" s="51"/>
      <c r="C442" s="51"/>
      <c r="D442" s="51"/>
      <c r="E442" s="51"/>
      <c r="F442" s="55"/>
      <c r="G442" s="56"/>
      <c r="H442" s="57"/>
      <c r="I442" s="51"/>
      <c r="J442" s="51"/>
      <c r="K442" s="58"/>
      <c r="L442" s="59"/>
      <c r="M442" s="58"/>
      <c r="N442" s="58"/>
      <c r="O442" s="51"/>
      <c r="P442" s="51"/>
      <c r="Q442" s="37"/>
      <c r="R442" s="70"/>
      <c r="S442" s="70"/>
      <c r="T442" s="70"/>
      <c r="U442" s="71"/>
      <c r="V442" s="73"/>
      <c r="W442" s="75"/>
      <c r="X442" s="117"/>
      <c r="Y442" s="111"/>
      <c r="Z442" s="111"/>
      <c r="AH442" s="18"/>
      <c r="AI442" s="18"/>
      <c r="AJ442" s="18"/>
      <c r="AK442" s="18"/>
      <c r="AL442" s="18"/>
      <c r="AM442" s="18"/>
      <c r="AN442" s="18"/>
    </row>
    <row r="443" spans="1:40">
      <c r="A443" s="51"/>
      <c r="B443" s="51"/>
      <c r="C443" s="51"/>
      <c r="D443" s="51"/>
      <c r="E443" s="51"/>
      <c r="F443" s="55"/>
      <c r="G443" s="56"/>
      <c r="H443" s="57"/>
      <c r="I443" s="51"/>
      <c r="J443" s="51"/>
      <c r="K443" s="58"/>
      <c r="L443" s="59"/>
      <c r="M443" s="58"/>
      <c r="N443" s="58"/>
      <c r="O443" s="51"/>
      <c r="P443" s="51"/>
      <c r="Q443" s="37"/>
      <c r="R443" s="70"/>
      <c r="S443" s="70"/>
      <c r="T443" s="70"/>
      <c r="U443" s="71"/>
      <c r="V443" s="73"/>
      <c r="W443" s="75"/>
      <c r="X443" s="117"/>
      <c r="Y443" s="111"/>
      <c r="Z443" s="111"/>
      <c r="AH443" s="18"/>
      <c r="AI443" s="18"/>
      <c r="AJ443" s="18"/>
      <c r="AK443" s="18"/>
      <c r="AL443" s="18"/>
      <c r="AM443" s="18"/>
      <c r="AN443" s="18"/>
    </row>
    <row r="444" spans="1:40">
      <c r="A444" s="51"/>
      <c r="B444" s="51"/>
      <c r="C444" s="51"/>
      <c r="D444" s="51"/>
      <c r="E444" s="51"/>
      <c r="F444" s="55"/>
      <c r="G444" s="56"/>
      <c r="H444" s="57"/>
      <c r="I444" s="51"/>
      <c r="J444" s="51"/>
      <c r="K444" s="58"/>
      <c r="L444" s="59"/>
      <c r="M444" s="58"/>
      <c r="N444" s="58"/>
      <c r="O444" s="51"/>
      <c r="P444" s="51"/>
      <c r="Q444" s="37"/>
      <c r="R444" s="70"/>
      <c r="S444" s="70"/>
      <c r="T444" s="70"/>
      <c r="U444" s="71"/>
      <c r="V444" s="73"/>
      <c r="W444" s="75"/>
      <c r="X444" s="117"/>
      <c r="Y444" s="111"/>
      <c r="Z444" s="111"/>
      <c r="AH444" s="18"/>
      <c r="AI444" s="18"/>
      <c r="AJ444" s="18"/>
      <c r="AK444" s="18"/>
      <c r="AL444" s="18"/>
      <c r="AM444" s="18"/>
      <c r="AN444" s="18"/>
    </row>
    <row r="445" spans="1:40">
      <c r="A445" s="51"/>
      <c r="B445" s="51"/>
      <c r="C445" s="51"/>
      <c r="D445" s="51"/>
      <c r="E445" s="51"/>
      <c r="F445" s="55"/>
      <c r="G445" s="56"/>
      <c r="H445" s="57"/>
      <c r="I445" s="51"/>
      <c r="J445" s="51"/>
      <c r="K445" s="58"/>
      <c r="L445" s="59"/>
      <c r="M445" s="58"/>
      <c r="N445" s="58"/>
      <c r="O445" s="51"/>
      <c r="P445" s="51"/>
      <c r="Q445" s="37"/>
      <c r="R445" s="70"/>
      <c r="S445" s="70"/>
      <c r="T445" s="70"/>
      <c r="U445" s="71"/>
      <c r="V445" s="73"/>
      <c r="W445" s="75"/>
      <c r="X445" s="117"/>
      <c r="Y445" s="111"/>
      <c r="Z445" s="111"/>
      <c r="AH445" s="18"/>
      <c r="AI445" s="18"/>
      <c r="AJ445" s="18"/>
      <c r="AK445" s="18"/>
      <c r="AL445" s="18"/>
      <c r="AM445" s="18"/>
      <c r="AN445" s="18"/>
    </row>
    <row r="446" spans="1:40">
      <c r="A446" s="51"/>
      <c r="B446" s="51"/>
      <c r="C446" s="51"/>
      <c r="D446" s="51"/>
      <c r="E446" s="51"/>
      <c r="F446" s="55"/>
      <c r="G446" s="56"/>
      <c r="H446" s="57"/>
      <c r="I446" s="51"/>
      <c r="J446" s="51"/>
      <c r="K446" s="58"/>
      <c r="L446" s="59"/>
      <c r="M446" s="58"/>
      <c r="N446" s="58"/>
      <c r="O446" s="51"/>
      <c r="P446" s="51"/>
      <c r="Q446" s="37"/>
      <c r="R446" s="70"/>
      <c r="S446" s="70"/>
      <c r="T446" s="70"/>
      <c r="U446" s="71"/>
      <c r="V446" s="73"/>
      <c r="W446" s="75"/>
      <c r="X446" s="117"/>
      <c r="Y446" s="111"/>
      <c r="Z446" s="111"/>
      <c r="AH446" s="18"/>
      <c r="AI446" s="18"/>
      <c r="AJ446" s="18"/>
      <c r="AK446" s="18"/>
      <c r="AL446" s="18"/>
      <c r="AM446" s="18"/>
      <c r="AN446" s="18"/>
    </row>
    <row r="447" spans="1:40">
      <c r="A447" s="51"/>
      <c r="B447" s="51"/>
      <c r="C447" s="51"/>
      <c r="D447" s="51"/>
      <c r="E447" s="51"/>
      <c r="F447" s="55"/>
      <c r="G447" s="56"/>
      <c r="H447" s="57"/>
      <c r="I447" s="51"/>
      <c r="J447" s="51"/>
      <c r="K447" s="58"/>
      <c r="L447" s="59"/>
      <c r="M447" s="58"/>
      <c r="N447" s="58"/>
      <c r="O447" s="51"/>
      <c r="P447" s="51"/>
      <c r="Q447" s="37"/>
      <c r="R447" s="70"/>
      <c r="S447" s="70"/>
      <c r="T447" s="70"/>
      <c r="U447" s="71"/>
      <c r="V447" s="73"/>
      <c r="W447" s="75"/>
      <c r="X447" s="117"/>
      <c r="Y447" s="111"/>
      <c r="Z447" s="111"/>
      <c r="AH447" s="18"/>
      <c r="AI447" s="18"/>
      <c r="AJ447" s="18"/>
      <c r="AK447" s="18"/>
      <c r="AL447" s="18"/>
      <c r="AM447" s="18"/>
      <c r="AN447" s="18"/>
    </row>
    <row r="448" spans="1:40">
      <c r="A448" s="51"/>
      <c r="B448" s="51"/>
      <c r="C448" s="51"/>
      <c r="D448" s="51"/>
      <c r="E448" s="51"/>
      <c r="F448" s="55"/>
      <c r="G448" s="56"/>
      <c r="H448" s="57"/>
      <c r="I448" s="51"/>
      <c r="J448" s="51"/>
      <c r="K448" s="58"/>
      <c r="L448" s="59"/>
      <c r="M448" s="58"/>
      <c r="N448" s="58"/>
      <c r="O448" s="51"/>
      <c r="P448" s="51"/>
      <c r="Q448" s="37"/>
      <c r="R448" s="70"/>
      <c r="S448" s="70"/>
      <c r="T448" s="70"/>
      <c r="U448" s="71"/>
      <c r="V448" s="73"/>
      <c r="W448" s="75"/>
      <c r="X448" s="117"/>
      <c r="Y448" s="111"/>
      <c r="Z448" s="111"/>
      <c r="AH448" s="18"/>
      <c r="AI448" s="18"/>
      <c r="AJ448" s="18"/>
      <c r="AK448" s="18"/>
      <c r="AL448" s="18"/>
      <c r="AM448" s="18"/>
      <c r="AN448" s="18"/>
    </row>
    <row r="449" spans="1:40">
      <c r="A449" s="51"/>
      <c r="B449" s="51"/>
      <c r="C449" s="51"/>
      <c r="D449" s="51"/>
      <c r="E449" s="51"/>
      <c r="F449" s="55"/>
      <c r="G449" s="56"/>
      <c r="H449" s="57"/>
      <c r="I449" s="51"/>
      <c r="J449" s="51"/>
      <c r="K449" s="58"/>
      <c r="L449" s="59"/>
      <c r="M449" s="58"/>
      <c r="N449" s="58"/>
      <c r="O449" s="51"/>
      <c r="P449" s="51"/>
      <c r="Q449" s="37"/>
      <c r="R449" s="70"/>
      <c r="S449" s="70"/>
      <c r="T449" s="70"/>
      <c r="U449" s="71"/>
      <c r="V449" s="73"/>
      <c r="W449" s="75"/>
      <c r="X449" s="117"/>
      <c r="Y449" s="111"/>
      <c r="Z449" s="111"/>
      <c r="AH449" s="18"/>
      <c r="AI449" s="18"/>
      <c r="AJ449" s="18"/>
      <c r="AK449" s="18"/>
      <c r="AL449" s="18"/>
      <c r="AM449" s="18"/>
      <c r="AN449" s="18"/>
    </row>
    <row r="450" spans="1:40">
      <c r="A450" s="51"/>
      <c r="B450" s="51"/>
      <c r="C450" s="51"/>
      <c r="D450" s="51"/>
      <c r="E450" s="51"/>
      <c r="F450" s="55"/>
      <c r="G450" s="56"/>
      <c r="H450" s="57"/>
      <c r="I450" s="51"/>
      <c r="J450" s="51"/>
      <c r="K450" s="58"/>
      <c r="L450" s="59"/>
      <c r="M450" s="58"/>
      <c r="N450" s="58"/>
      <c r="O450" s="51"/>
      <c r="P450" s="51"/>
      <c r="Q450" s="37"/>
      <c r="R450" s="70"/>
      <c r="S450" s="70"/>
      <c r="T450" s="70"/>
      <c r="U450" s="71"/>
      <c r="V450" s="73"/>
      <c r="W450" s="75"/>
      <c r="X450" s="117"/>
      <c r="Y450" s="111"/>
      <c r="Z450" s="111"/>
      <c r="AH450" s="18"/>
      <c r="AI450" s="18"/>
      <c r="AJ450" s="18"/>
      <c r="AK450" s="18"/>
      <c r="AL450" s="18"/>
      <c r="AM450" s="18"/>
      <c r="AN450" s="18"/>
    </row>
    <row r="451" spans="1:40">
      <c r="A451" s="51"/>
      <c r="B451" s="51"/>
      <c r="C451" s="51"/>
      <c r="D451" s="51"/>
      <c r="E451" s="51"/>
      <c r="F451" s="55"/>
      <c r="G451" s="56"/>
      <c r="H451" s="57"/>
      <c r="I451" s="51"/>
      <c r="J451" s="51"/>
      <c r="K451" s="58"/>
      <c r="L451" s="59"/>
      <c r="M451" s="58"/>
      <c r="N451" s="58"/>
      <c r="O451" s="51"/>
      <c r="P451" s="51"/>
      <c r="Q451" s="37"/>
      <c r="R451" s="70"/>
      <c r="S451" s="70"/>
      <c r="T451" s="70"/>
      <c r="U451" s="71"/>
      <c r="V451" s="73"/>
      <c r="W451" s="75"/>
      <c r="X451" s="117"/>
      <c r="Y451" s="111"/>
      <c r="Z451" s="111"/>
      <c r="AH451" s="18"/>
      <c r="AI451" s="18"/>
      <c r="AJ451" s="18"/>
      <c r="AK451" s="18"/>
      <c r="AL451" s="18"/>
      <c r="AM451" s="18"/>
      <c r="AN451" s="18"/>
    </row>
    <row r="452" spans="1:40">
      <c r="A452" s="51"/>
      <c r="B452" s="51"/>
      <c r="C452" s="51"/>
      <c r="D452" s="51"/>
      <c r="E452" s="51"/>
      <c r="F452" s="55"/>
      <c r="G452" s="56"/>
      <c r="H452" s="57"/>
      <c r="I452" s="51"/>
      <c r="J452" s="51"/>
      <c r="K452" s="58"/>
      <c r="L452" s="59"/>
      <c r="M452" s="58"/>
      <c r="N452" s="58"/>
      <c r="O452" s="51"/>
      <c r="P452" s="51"/>
      <c r="Q452" s="37"/>
      <c r="R452" s="70"/>
      <c r="S452" s="70"/>
      <c r="T452" s="70"/>
      <c r="U452" s="71"/>
      <c r="V452" s="73"/>
      <c r="W452" s="75"/>
      <c r="X452" s="117"/>
      <c r="Y452" s="111"/>
      <c r="Z452" s="111"/>
      <c r="AH452" s="18"/>
      <c r="AI452" s="18"/>
      <c r="AJ452" s="18"/>
      <c r="AK452" s="18"/>
      <c r="AL452" s="18"/>
      <c r="AM452" s="18"/>
      <c r="AN452" s="18"/>
    </row>
    <row r="453" spans="1:40">
      <c r="A453" s="51"/>
      <c r="B453" s="51"/>
      <c r="C453" s="51"/>
      <c r="D453" s="51"/>
      <c r="E453" s="51"/>
      <c r="F453" s="55"/>
      <c r="G453" s="56"/>
      <c r="H453" s="57"/>
      <c r="I453" s="51"/>
      <c r="J453" s="51"/>
      <c r="K453" s="58"/>
      <c r="L453" s="59"/>
      <c r="M453" s="58"/>
      <c r="N453" s="58"/>
      <c r="O453" s="51"/>
      <c r="P453" s="51"/>
      <c r="Q453" s="37"/>
      <c r="R453" s="70"/>
      <c r="S453" s="70"/>
      <c r="T453" s="70"/>
      <c r="U453" s="71"/>
      <c r="V453" s="73"/>
      <c r="W453" s="75"/>
      <c r="X453" s="117"/>
      <c r="Y453" s="111"/>
      <c r="Z453" s="111"/>
      <c r="AH453" s="18"/>
      <c r="AI453" s="18"/>
      <c r="AJ453" s="18"/>
      <c r="AK453" s="18"/>
      <c r="AL453" s="18"/>
      <c r="AM453" s="18"/>
      <c r="AN453" s="18"/>
    </row>
    <row r="454" spans="1:40">
      <c r="A454" s="51"/>
      <c r="B454" s="51"/>
      <c r="C454" s="51"/>
      <c r="D454" s="51"/>
      <c r="E454" s="51"/>
      <c r="F454" s="55"/>
      <c r="G454" s="56"/>
      <c r="H454" s="57"/>
      <c r="I454" s="51"/>
      <c r="J454" s="51"/>
      <c r="K454" s="58"/>
      <c r="L454" s="59"/>
      <c r="M454" s="58"/>
      <c r="N454" s="58"/>
      <c r="O454" s="51"/>
      <c r="P454" s="51"/>
      <c r="Q454" s="37"/>
      <c r="R454" s="70"/>
      <c r="S454" s="70"/>
      <c r="T454" s="70"/>
      <c r="U454" s="71"/>
      <c r="V454" s="73"/>
      <c r="W454" s="75"/>
      <c r="X454" s="117"/>
      <c r="Y454" s="111"/>
      <c r="Z454" s="111"/>
      <c r="AH454" s="18"/>
      <c r="AI454" s="18"/>
      <c r="AJ454" s="18"/>
      <c r="AK454" s="18"/>
      <c r="AL454" s="18"/>
      <c r="AM454" s="18"/>
      <c r="AN454" s="18"/>
    </row>
    <row r="455" spans="1:40">
      <c r="A455" s="51"/>
      <c r="B455" s="51"/>
      <c r="C455" s="51"/>
      <c r="D455" s="51"/>
      <c r="E455" s="51"/>
      <c r="F455" s="55"/>
      <c r="G455" s="56"/>
      <c r="H455" s="57"/>
      <c r="I455" s="51"/>
      <c r="J455" s="51"/>
      <c r="K455" s="58"/>
      <c r="L455" s="59"/>
      <c r="M455" s="58"/>
      <c r="N455" s="58"/>
      <c r="O455" s="51"/>
      <c r="P455" s="51"/>
      <c r="Q455" s="37"/>
      <c r="R455" s="70"/>
      <c r="S455" s="70"/>
      <c r="T455" s="70"/>
      <c r="U455" s="71"/>
      <c r="V455" s="73"/>
      <c r="W455" s="75"/>
      <c r="X455" s="117"/>
      <c r="Y455" s="111"/>
      <c r="Z455" s="111"/>
      <c r="AH455" s="18"/>
      <c r="AI455" s="18"/>
      <c r="AJ455" s="18"/>
      <c r="AK455" s="18"/>
      <c r="AL455" s="18"/>
      <c r="AM455" s="18"/>
      <c r="AN455" s="18"/>
    </row>
    <row r="456" spans="1:40">
      <c r="A456" s="51"/>
      <c r="B456" s="51"/>
      <c r="C456" s="51"/>
      <c r="D456" s="51"/>
      <c r="E456" s="51"/>
      <c r="F456" s="55"/>
      <c r="G456" s="56"/>
      <c r="H456" s="57"/>
      <c r="I456" s="51"/>
      <c r="J456" s="51"/>
      <c r="K456" s="58"/>
      <c r="L456" s="59"/>
      <c r="M456" s="58"/>
      <c r="N456" s="58"/>
      <c r="O456" s="51"/>
      <c r="P456" s="51"/>
      <c r="Q456" s="37"/>
      <c r="R456" s="70"/>
      <c r="S456" s="70"/>
      <c r="T456" s="70"/>
      <c r="U456" s="71"/>
      <c r="V456" s="73"/>
      <c r="W456" s="75"/>
      <c r="X456" s="117"/>
      <c r="Y456" s="111"/>
      <c r="Z456" s="111"/>
      <c r="AH456" s="18"/>
      <c r="AI456" s="18"/>
      <c r="AJ456" s="18"/>
      <c r="AK456" s="18"/>
      <c r="AL456" s="18"/>
      <c r="AM456" s="18"/>
      <c r="AN456" s="18"/>
    </row>
    <row r="457" spans="1:40">
      <c r="A457" s="51"/>
      <c r="B457" s="51"/>
      <c r="C457" s="51"/>
      <c r="D457" s="51"/>
      <c r="E457" s="51"/>
      <c r="F457" s="55"/>
      <c r="G457" s="56"/>
      <c r="H457" s="57"/>
      <c r="I457" s="51"/>
      <c r="J457" s="51"/>
      <c r="K457" s="58"/>
      <c r="L457" s="59"/>
      <c r="M457" s="58"/>
      <c r="N457" s="58"/>
      <c r="O457" s="51"/>
      <c r="P457" s="51"/>
      <c r="Q457" s="37"/>
      <c r="R457" s="70"/>
      <c r="S457" s="70"/>
      <c r="T457" s="70"/>
      <c r="U457" s="71"/>
      <c r="V457" s="73"/>
      <c r="W457" s="75"/>
      <c r="X457" s="117"/>
      <c r="Y457" s="111"/>
      <c r="Z457" s="111"/>
      <c r="AH457" s="18"/>
      <c r="AI457" s="18"/>
      <c r="AJ457" s="18"/>
      <c r="AK457" s="18"/>
      <c r="AL457" s="18"/>
      <c r="AM457" s="18"/>
      <c r="AN457" s="18"/>
    </row>
    <row r="458" spans="1:40">
      <c r="A458" s="51"/>
      <c r="B458" s="51"/>
      <c r="C458" s="51"/>
      <c r="D458" s="51"/>
      <c r="E458" s="51"/>
      <c r="F458" s="55"/>
      <c r="G458" s="56"/>
      <c r="H458" s="57"/>
      <c r="I458" s="51"/>
      <c r="J458" s="51"/>
      <c r="K458" s="58"/>
      <c r="L458" s="59"/>
      <c r="M458" s="58"/>
      <c r="N458" s="58"/>
      <c r="O458" s="51"/>
      <c r="P458" s="51"/>
      <c r="Q458" s="37"/>
      <c r="R458" s="70"/>
      <c r="S458" s="70"/>
      <c r="T458" s="70"/>
      <c r="U458" s="71"/>
      <c r="V458" s="73"/>
      <c r="W458" s="75"/>
      <c r="X458" s="117"/>
      <c r="Y458" s="111"/>
      <c r="Z458" s="111"/>
      <c r="AH458" s="18"/>
      <c r="AI458" s="18"/>
      <c r="AJ458" s="18"/>
      <c r="AK458" s="18"/>
      <c r="AL458" s="18"/>
      <c r="AM458" s="18"/>
      <c r="AN458" s="18"/>
    </row>
    <row r="459" spans="1:40">
      <c r="A459" s="51"/>
      <c r="B459" s="51"/>
      <c r="C459" s="51"/>
      <c r="D459" s="51"/>
      <c r="E459" s="51"/>
      <c r="F459" s="55"/>
      <c r="G459" s="56"/>
      <c r="H459" s="57"/>
      <c r="I459" s="51"/>
      <c r="J459" s="51"/>
      <c r="K459" s="58"/>
      <c r="L459" s="59"/>
      <c r="M459" s="58"/>
      <c r="N459" s="58"/>
      <c r="O459" s="51"/>
      <c r="P459" s="51"/>
      <c r="Q459" s="37"/>
      <c r="R459" s="70"/>
      <c r="S459" s="70"/>
      <c r="T459" s="70"/>
      <c r="U459" s="71"/>
      <c r="V459" s="73"/>
      <c r="W459" s="75"/>
      <c r="X459" s="117"/>
      <c r="Y459" s="111"/>
      <c r="Z459" s="111"/>
      <c r="AH459" s="18"/>
      <c r="AI459" s="18"/>
      <c r="AJ459" s="18"/>
      <c r="AK459" s="18"/>
      <c r="AL459" s="18"/>
      <c r="AM459" s="18"/>
      <c r="AN459" s="18"/>
    </row>
    <row r="460" spans="1:40">
      <c r="A460" s="51"/>
      <c r="B460" s="51"/>
      <c r="C460" s="51"/>
      <c r="D460" s="51"/>
      <c r="E460" s="51"/>
      <c r="F460" s="55"/>
      <c r="G460" s="56"/>
      <c r="H460" s="57"/>
      <c r="I460" s="51"/>
      <c r="J460" s="51"/>
      <c r="K460" s="58"/>
      <c r="L460" s="59"/>
      <c r="M460" s="58"/>
      <c r="N460" s="58"/>
      <c r="O460" s="51"/>
      <c r="P460" s="51"/>
      <c r="Q460" s="37"/>
      <c r="R460" s="70"/>
      <c r="S460" s="70"/>
      <c r="T460" s="70"/>
      <c r="U460" s="71"/>
      <c r="V460" s="73"/>
      <c r="W460" s="75"/>
      <c r="X460" s="117"/>
      <c r="Y460" s="111"/>
      <c r="Z460" s="111"/>
      <c r="AH460" s="18"/>
      <c r="AI460" s="18"/>
      <c r="AJ460" s="18"/>
      <c r="AK460" s="18"/>
      <c r="AL460" s="18"/>
      <c r="AM460" s="18"/>
      <c r="AN460" s="18"/>
    </row>
    <row r="461" spans="1:40">
      <c r="A461" s="51"/>
      <c r="B461" s="51"/>
      <c r="C461" s="51"/>
      <c r="D461" s="51"/>
      <c r="E461" s="51"/>
      <c r="F461" s="55"/>
      <c r="G461" s="56"/>
      <c r="H461" s="57"/>
      <c r="I461" s="51"/>
      <c r="J461" s="51"/>
      <c r="K461" s="58"/>
      <c r="L461" s="59"/>
      <c r="M461" s="58"/>
      <c r="N461" s="58"/>
      <c r="O461" s="51"/>
      <c r="P461" s="51"/>
      <c r="Q461" s="37"/>
      <c r="R461" s="70"/>
      <c r="S461" s="70"/>
      <c r="T461" s="70"/>
      <c r="U461" s="71"/>
      <c r="V461" s="73"/>
      <c r="W461" s="75"/>
      <c r="X461" s="117"/>
      <c r="Y461" s="111"/>
      <c r="Z461" s="111"/>
      <c r="AH461" s="18"/>
      <c r="AI461" s="18"/>
      <c r="AJ461" s="18"/>
      <c r="AK461" s="18"/>
      <c r="AL461" s="18"/>
      <c r="AM461" s="18"/>
      <c r="AN461" s="18"/>
    </row>
    <row r="462" spans="1:40">
      <c r="A462" s="51"/>
      <c r="B462" s="51"/>
      <c r="C462" s="51"/>
      <c r="D462" s="51"/>
      <c r="E462" s="51"/>
      <c r="F462" s="55"/>
      <c r="G462" s="56"/>
      <c r="H462" s="57"/>
      <c r="I462" s="51"/>
      <c r="J462" s="51"/>
      <c r="K462" s="58"/>
      <c r="L462" s="59"/>
      <c r="M462" s="58"/>
      <c r="N462" s="58"/>
      <c r="O462" s="51"/>
      <c r="P462" s="51"/>
      <c r="Q462" s="37"/>
      <c r="R462" s="70"/>
      <c r="S462" s="70"/>
      <c r="T462" s="70"/>
      <c r="U462" s="71"/>
      <c r="V462" s="73"/>
      <c r="W462" s="75"/>
      <c r="X462" s="117"/>
      <c r="Y462" s="111"/>
      <c r="Z462" s="111"/>
      <c r="AH462" s="18"/>
      <c r="AI462" s="18"/>
      <c r="AJ462" s="18"/>
      <c r="AK462" s="18"/>
      <c r="AL462" s="18"/>
      <c r="AM462" s="18"/>
      <c r="AN462" s="18"/>
    </row>
    <row r="463" spans="1:40">
      <c r="A463" s="51"/>
      <c r="B463" s="51"/>
      <c r="C463" s="51"/>
      <c r="D463" s="51"/>
      <c r="E463" s="51"/>
      <c r="F463" s="55"/>
      <c r="G463" s="56"/>
      <c r="H463" s="57"/>
      <c r="I463" s="51"/>
      <c r="J463" s="51"/>
      <c r="K463" s="58"/>
      <c r="L463" s="59"/>
      <c r="M463" s="58"/>
      <c r="N463" s="58"/>
      <c r="O463" s="51"/>
      <c r="P463" s="51"/>
      <c r="Q463" s="37"/>
      <c r="R463" s="70"/>
      <c r="S463" s="70"/>
      <c r="T463" s="70"/>
      <c r="U463" s="71"/>
      <c r="V463" s="73"/>
      <c r="W463" s="75"/>
      <c r="X463" s="117"/>
      <c r="Y463" s="111"/>
      <c r="Z463" s="111"/>
      <c r="AH463" s="18"/>
      <c r="AI463" s="18"/>
      <c r="AJ463" s="18"/>
      <c r="AK463" s="18"/>
      <c r="AL463" s="18"/>
      <c r="AM463" s="18"/>
      <c r="AN463" s="18"/>
    </row>
    <row r="464" spans="1:40">
      <c r="A464" s="51"/>
      <c r="B464" s="51"/>
      <c r="C464" s="51"/>
      <c r="D464" s="51"/>
      <c r="E464" s="51"/>
      <c r="F464" s="55"/>
      <c r="G464" s="56"/>
      <c r="H464" s="57"/>
      <c r="I464" s="51"/>
      <c r="J464" s="51"/>
      <c r="K464" s="58"/>
      <c r="L464" s="59"/>
      <c r="M464" s="58"/>
      <c r="N464" s="58"/>
      <c r="O464" s="51"/>
      <c r="P464" s="51"/>
      <c r="Q464" s="37"/>
      <c r="R464" s="70"/>
      <c r="S464" s="70"/>
      <c r="T464" s="70"/>
      <c r="U464" s="71"/>
      <c r="V464" s="73"/>
      <c r="W464" s="75"/>
      <c r="X464" s="117"/>
      <c r="Y464" s="111"/>
      <c r="Z464" s="111"/>
      <c r="AH464" s="18"/>
      <c r="AI464" s="18"/>
      <c r="AJ464" s="18"/>
      <c r="AK464" s="18"/>
      <c r="AL464" s="18"/>
      <c r="AM464" s="18"/>
      <c r="AN464" s="18"/>
    </row>
    <row r="465" spans="1:40">
      <c r="A465" s="51"/>
      <c r="B465" s="51"/>
      <c r="C465" s="51"/>
      <c r="D465" s="51"/>
      <c r="E465" s="51"/>
      <c r="F465" s="55"/>
      <c r="G465" s="56"/>
      <c r="H465" s="57"/>
      <c r="I465" s="51"/>
      <c r="J465" s="51"/>
      <c r="K465" s="58"/>
      <c r="L465" s="59"/>
      <c r="M465" s="58"/>
      <c r="N465" s="58"/>
      <c r="O465" s="51"/>
      <c r="P465" s="51"/>
      <c r="Q465" s="37"/>
      <c r="R465" s="70"/>
      <c r="S465" s="70"/>
      <c r="T465" s="70"/>
      <c r="U465" s="71"/>
      <c r="V465" s="73"/>
      <c r="W465" s="75"/>
      <c r="X465" s="117"/>
      <c r="Y465" s="111"/>
      <c r="Z465" s="111"/>
      <c r="AH465" s="18"/>
      <c r="AI465" s="18"/>
      <c r="AJ465" s="18"/>
      <c r="AK465" s="18"/>
      <c r="AL465" s="18"/>
      <c r="AM465" s="18"/>
      <c r="AN465" s="18"/>
    </row>
    <row r="466" spans="1:40">
      <c r="A466" s="51"/>
      <c r="B466" s="51"/>
      <c r="C466" s="51"/>
      <c r="D466" s="51"/>
      <c r="E466" s="51"/>
      <c r="F466" s="55"/>
      <c r="G466" s="56"/>
      <c r="H466" s="57"/>
      <c r="I466" s="51"/>
      <c r="J466" s="51"/>
      <c r="K466" s="58"/>
      <c r="L466" s="59"/>
      <c r="M466" s="58"/>
      <c r="N466" s="58"/>
      <c r="O466" s="51"/>
      <c r="P466" s="51"/>
      <c r="Q466" s="37"/>
      <c r="R466" s="70"/>
      <c r="S466" s="70"/>
      <c r="T466" s="70"/>
      <c r="U466" s="71"/>
      <c r="V466" s="73"/>
      <c r="W466" s="75"/>
      <c r="X466" s="117"/>
      <c r="Y466" s="111"/>
      <c r="Z466" s="111"/>
      <c r="AH466" s="18"/>
      <c r="AI466" s="18"/>
      <c r="AJ466" s="18"/>
      <c r="AK466" s="18"/>
      <c r="AL466" s="18"/>
      <c r="AM466" s="18"/>
      <c r="AN466" s="18"/>
    </row>
    <row r="467" spans="1:40">
      <c r="A467" s="51"/>
      <c r="B467" s="51"/>
      <c r="C467" s="51"/>
      <c r="D467" s="51"/>
      <c r="E467" s="51"/>
      <c r="F467" s="55"/>
      <c r="G467" s="56"/>
      <c r="H467" s="57"/>
      <c r="I467" s="51"/>
      <c r="J467" s="51"/>
      <c r="K467" s="58"/>
      <c r="L467" s="59"/>
      <c r="M467" s="58"/>
      <c r="N467" s="58"/>
      <c r="O467" s="51"/>
      <c r="P467" s="51"/>
      <c r="Q467" s="37"/>
      <c r="R467" s="70"/>
      <c r="S467" s="70"/>
      <c r="T467" s="70"/>
      <c r="U467" s="71"/>
      <c r="V467" s="73"/>
      <c r="W467" s="75"/>
      <c r="X467" s="117"/>
      <c r="Y467" s="111"/>
      <c r="Z467" s="111"/>
      <c r="AH467" s="18"/>
      <c r="AI467" s="18"/>
      <c r="AJ467" s="18"/>
      <c r="AK467" s="18"/>
      <c r="AL467" s="18"/>
      <c r="AM467" s="18"/>
      <c r="AN467" s="18"/>
    </row>
    <row r="468" spans="1:40">
      <c r="A468" s="51"/>
      <c r="B468" s="51"/>
      <c r="C468" s="51"/>
      <c r="D468" s="51"/>
      <c r="E468" s="51"/>
      <c r="F468" s="55"/>
      <c r="G468" s="56"/>
      <c r="H468" s="57"/>
      <c r="I468" s="51"/>
      <c r="J468" s="51"/>
      <c r="K468" s="58"/>
      <c r="L468" s="59"/>
      <c r="M468" s="58"/>
      <c r="N468" s="58"/>
      <c r="O468" s="51"/>
      <c r="P468" s="51"/>
      <c r="Q468" s="37"/>
      <c r="R468" s="70"/>
      <c r="S468" s="70"/>
      <c r="T468" s="70"/>
      <c r="U468" s="71"/>
      <c r="V468" s="73"/>
      <c r="W468" s="75"/>
      <c r="X468" s="117"/>
      <c r="Y468" s="111"/>
      <c r="Z468" s="111"/>
      <c r="AH468" s="18"/>
      <c r="AI468" s="18"/>
      <c r="AJ468" s="18"/>
      <c r="AK468" s="18"/>
      <c r="AL468" s="18"/>
      <c r="AM468" s="18"/>
      <c r="AN468" s="18"/>
    </row>
    <row r="469" spans="1:40">
      <c r="A469" s="51"/>
      <c r="B469" s="51"/>
      <c r="C469" s="51"/>
      <c r="D469" s="51"/>
      <c r="E469" s="51"/>
      <c r="F469" s="55"/>
      <c r="G469" s="56"/>
      <c r="H469" s="57"/>
      <c r="I469" s="51"/>
      <c r="J469" s="51"/>
      <c r="K469" s="58"/>
      <c r="L469" s="59"/>
      <c r="M469" s="58"/>
      <c r="N469" s="58"/>
      <c r="O469" s="51"/>
      <c r="P469" s="51"/>
      <c r="Q469" s="37"/>
      <c r="R469" s="70"/>
      <c r="S469" s="70"/>
      <c r="T469" s="70"/>
      <c r="U469" s="71"/>
      <c r="V469" s="73"/>
      <c r="W469" s="75"/>
      <c r="X469" s="117"/>
      <c r="Y469" s="111"/>
      <c r="Z469" s="111"/>
      <c r="AH469" s="18"/>
      <c r="AI469" s="18"/>
      <c r="AJ469" s="18"/>
      <c r="AK469" s="18"/>
      <c r="AL469" s="18"/>
      <c r="AM469" s="18"/>
      <c r="AN469" s="18"/>
    </row>
    <row r="470" spans="1:40">
      <c r="A470" s="51"/>
      <c r="B470" s="51"/>
      <c r="C470" s="51"/>
      <c r="D470" s="51"/>
      <c r="E470" s="51"/>
      <c r="F470" s="55"/>
      <c r="G470" s="56"/>
      <c r="H470" s="57"/>
      <c r="I470" s="51"/>
      <c r="J470" s="51"/>
      <c r="K470" s="58"/>
      <c r="L470" s="59"/>
      <c r="M470" s="58"/>
      <c r="N470" s="58"/>
      <c r="O470" s="51"/>
      <c r="P470" s="51"/>
      <c r="Q470" s="37"/>
      <c r="R470" s="70"/>
      <c r="S470" s="70"/>
      <c r="T470" s="70"/>
      <c r="U470" s="71"/>
      <c r="V470" s="73"/>
      <c r="W470" s="75"/>
      <c r="X470" s="117"/>
      <c r="Y470" s="111"/>
      <c r="Z470" s="111"/>
      <c r="AH470" s="18"/>
      <c r="AI470" s="18"/>
      <c r="AJ470" s="18"/>
      <c r="AK470" s="18"/>
      <c r="AL470" s="18"/>
      <c r="AM470" s="18"/>
      <c r="AN470" s="18"/>
    </row>
    <row r="471" spans="1:40">
      <c r="A471" s="51"/>
      <c r="B471" s="51"/>
      <c r="C471" s="51"/>
      <c r="D471" s="51"/>
      <c r="E471" s="51"/>
      <c r="F471" s="55"/>
      <c r="G471" s="56"/>
      <c r="H471" s="57"/>
      <c r="I471" s="51"/>
      <c r="J471" s="51"/>
      <c r="K471" s="58"/>
      <c r="L471" s="59"/>
      <c r="M471" s="58"/>
      <c r="N471" s="58"/>
      <c r="O471" s="51"/>
      <c r="P471" s="51"/>
      <c r="Q471" s="37"/>
      <c r="R471" s="70"/>
      <c r="S471" s="70"/>
      <c r="T471" s="70"/>
      <c r="U471" s="71"/>
      <c r="V471" s="73"/>
      <c r="W471" s="75"/>
      <c r="X471" s="117"/>
      <c r="Y471" s="111"/>
      <c r="Z471" s="111"/>
      <c r="AH471" s="18"/>
      <c r="AI471" s="18"/>
      <c r="AJ471" s="18"/>
      <c r="AK471" s="18"/>
      <c r="AL471" s="18"/>
      <c r="AM471" s="18"/>
      <c r="AN471" s="18"/>
    </row>
    <row r="472" spans="1:40">
      <c r="A472" s="51"/>
      <c r="B472" s="51"/>
      <c r="C472" s="51"/>
      <c r="D472" s="51"/>
      <c r="E472" s="51"/>
      <c r="F472" s="55"/>
      <c r="G472" s="56"/>
      <c r="H472" s="57"/>
      <c r="I472" s="51"/>
      <c r="J472" s="51"/>
      <c r="K472" s="58"/>
      <c r="L472" s="59"/>
      <c r="M472" s="58"/>
      <c r="N472" s="58"/>
      <c r="O472" s="51"/>
      <c r="P472" s="51"/>
      <c r="Q472" s="37"/>
      <c r="R472" s="70"/>
      <c r="S472" s="70"/>
      <c r="T472" s="70"/>
      <c r="U472" s="71"/>
      <c r="V472" s="73"/>
      <c r="W472" s="75"/>
      <c r="X472" s="117"/>
      <c r="Y472" s="111"/>
      <c r="Z472" s="111"/>
      <c r="AH472" s="18"/>
      <c r="AI472" s="18"/>
      <c r="AJ472" s="18"/>
      <c r="AK472" s="18"/>
      <c r="AL472" s="18"/>
      <c r="AM472" s="18"/>
      <c r="AN472" s="18"/>
    </row>
    <row r="473" spans="1:40">
      <c r="A473" s="51"/>
      <c r="B473" s="51"/>
      <c r="C473" s="51"/>
      <c r="D473" s="51"/>
      <c r="E473" s="51"/>
      <c r="F473" s="55"/>
      <c r="G473" s="56"/>
      <c r="H473" s="57"/>
      <c r="I473" s="51"/>
      <c r="J473" s="51"/>
      <c r="K473" s="58"/>
      <c r="L473" s="59"/>
      <c r="M473" s="58"/>
      <c r="N473" s="58"/>
      <c r="O473" s="51"/>
      <c r="P473" s="51"/>
      <c r="Q473" s="37"/>
      <c r="R473" s="70"/>
      <c r="S473" s="70"/>
      <c r="T473" s="70"/>
      <c r="U473" s="71"/>
      <c r="V473" s="73"/>
      <c r="W473" s="75"/>
      <c r="X473" s="117"/>
      <c r="Y473" s="111"/>
      <c r="Z473" s="111"/>
      <c r="AH473" s="18"/>
      <c r="AI473" s="18"/>
      <c r="AJ473" s="18"/>
      <c r="AK473" s="18"/>
      <c r="AL473" s="18"/>
      <c r="AM473" s="18"/>
      <c r="AN473" s="18"/>
    </row>
    <row r="474" spans="1:40">
      <c r="A474" s="51"/>
      <c r="B474" s="51"/>
      <c r="C474" s="51"/>
      <c r="D474" s="51"/>
      <c r="E474" s="51"/>
      <c r="F474" s="55"/>
      <c r="G474" s="56"/>
      <c r="H474" s="57"/>
      <c r="I474" s="51"/>
      <c r="J474" s="51"/>
      <c r="K474" s="58"/>
      <c r="L474" s="59"/>
      <c r="M474" s="58"/>
      <c r="N474" s="58"/>
      <c r="O474" s="51"/>
      <c r="P474" s="51"/>
      <c r="Q474" s="37"/>
      <c r="R474" s="70"/>
      <c r="S474" s="70"/>
      <c r="T474" s="70"/>
      <c r="U474" s="71"/>
      <c r="V474" s="73"/>
      <c r="W474" s="75"/>
      <c r="X474" s="117"/>
      <c r="Y474" s="111"/>
      <c r="Z474" s="111"/>
      <c r="AH474" s="18"/>
      <c r="AI474" s="18"/>
      <c r="AJ474" s="18"/>
      <c r="AK474" s="18"/>
      <c r="AL474" s="18"/>
      <c r="AM474" s="18"/>
      <c r="AN474" s="18"/>
    </row>
    <row r="475" spans="1:40">
      <c r="A475" s="51"/>
      <c r="B475" s="51"/>
      <c r="C475" s="51"/>
      <c r="D475" s="51"/>
      <c r="E475" s="51"/>
      <c r="F475" s="55"/>
      <c r="G475" s="56"/>
      <c r="H475" s="57"/>
      <c r="I475" s="51"/>
      <c r="J475" s="51"/>
      <c r="K475" s="58"/>
      <c r="L475" s="59"/>
      <c r="M475" s="58"/>
      <c r="N475" s="58"/>
      <c r="O475" s="51"/>
      <c r="P475" s="51"/>
      <c r="Q475" s="37"/>
      <c r="R475" s="70"/>
      <c r="S475" s="70"/>
      <c r="T475" s="70"/>
      <c r="U475" s="71"/>
      <c r="V475" s="73"/>
      <c r="W475" s="75"/>
      <c r="X475" s="117"/>
      <c r="Y475" s="111"/>
      <c r="Z475" s="111"/>
      <c r="AH475" s="18"/>
      <c r="AI475" s="18"/>
      <c r="AJ475" s="18"/>
      <c r="AK475" s="18"/>
      <c r="AL475" s="18"/>
      <c r="AM475" s="18"/>
      <c r="AN475" s="18"/>
    </row>
    <row r="476" spans="1:40">
      <c r="A476" s="51"/>
      <c r="B476" s="51"/>
      <c r="C476" s="51"/>
      <c r="D476" s="51"/>
      <c r="E476" s="51"/>
      <c r="F476" s="55"/>
      <c r="G476" s="56"/>
      <c r="H476" s="57"/>
      <c r="I476" s="51"/>
      <c r="J476" s="51"/>
      <c r="K476" s="58"/>
      <c r="L476" s="59"/>
      <c r="M476" s="58"/>
      <c r="N476" s="58"/>
      <c r="O476" s="51"/>
      <c r="P476" s="51"/>
      <c r="Q476" s="37"/>
      <c r="R476" s="70"/>
      <c r="S476" s="70"/>
      <c r="T476" s="70"/>
      <c r="U476" s="71"/>
      <c r="V476" s="73"/>
      <c r="W476" s="75"/>
      <c r="X476" s="117"/>
      <c r="Y476" s="111"/>
      <c r="Z476" s="111"/>
      <c r="AH476" s="18"/>
      <c r="AI476" s="18"/>
      <c r="AJ476" s="18"/>
      <c r="AK476" s="18"/>
      <c r="AL476" s="18"/>
      <c r="AM476" s="18"/>
      <c r="AN476" s="18"/>
    </row>
    <row r="477" spans="1:40">
      <c r="A477" s="51"/>
      <c r="B477" s="51"/>
      <c r="C477" s="51"/>
      <c r="D477" s="51"/>
      <c r="E477" s="51"/>
      <c r="F477" s="55"/>
      <c r="G477" s="56"/>
      <c r="H477" s="57"/>
      <c r="I477" s="51"/>
      <c r="J477" s="51"/>
      <c r="K477" s="58"/>
      <c r="L477" s="59"/>
      <c r="M477" s="58"/>
      <c r="N477" s="58"/>
      <c r="O477" s="51"/>
      <c r="P477" s="51"/>
      <c r="Q477" s="37"/>
      <c r="R477" s="70"/>
      <c r="S477" s="70"/>
      <c r="T477" s="70"/>
      <c r="U477" s="71"/>
      <c r="V477" s="73"/>
      <c r="W477" s="75"/>
      <c r="X477" s="117"/>
      <c r="Y477" s="111"/>
      <c r="Z477" s="111"/>
      <c r="AH477" s="18"/>
      <c r="AI477" s="18"/>
      <c r="AJ477" s="18"/>
      <c r="AK477" s="18"/>
      <c r="AL477" s="18"/>
      <c r="AM477" s="18"/>
      <c r="AN477" s="18"/>
    </row>
    <row r="478" spans="1:40">
      <c r="A478" s="51"/>
      <c r="B478" s="51"/>
      <c r="C478" s="51"/>
      <c r="D478" s="51"/>
      <c r="E478" s="51"/>
      <c r="F478" s="55"/>
      <c r="G478" s="56"/>
      <c r="H478" s="57"/>
      <c r="I478" s="51"/>
      <c r="J478" s="51"/>
      <c r="K478" s="58"/>
      <c r="L478" s="59"/>
      <c r="M478" s="58"/>
      <c r="N478" s="58"/>
      <c r="O478" s="51"/>
      <c r="P478" s="51"/>
      <c r="Q478" s="37"/>
      <c r="R478" s="70"/>
      <c r="S478" s="70"/>
      <c r="T478" s="70"/>
      <c r="U478" s="71"/>
      <c r="V478" s="73"/>
      <c r="W478" s="75"/>
      <c r="X478" s="117"/>
      <c r="Y478" s="111"/>
      <c r="Z478" s="111"/>
      <c r="AH478" s="18"/>
      <c r="AI478" s="18"/>
      <c r="AJ478" s="18"/>
      <c r="AK478" s="18"/>
      <c r="AL478" s="18"/>
      <c r="AM478" s="18"/>
      <c r="AN478" s="18"/>
    </row>
    <row r="479" spans="1:40">
      <c r="A479" s="51"/>
      <c r="B479" s="51"/>
      <c r="C479" s="51"/>
      <c r="D479" s="51"/>
      <c r="E479" s="51"/>
      <c r="F479" s="55"/>
      <c r="G479" s="56"/>
      <c r="H479" s="57"/>
      <c r="I479" s="51"/>
      <c r="J479" s="51"/>
      <c r="K479" s="58"/>
      <c r="L479" s="59"/>
      <c r="M479" s="58"/>
      <c r="N479" s="58"/>
      <c r="O479" s="51"/>
      <c r="P479" s="51"/>
      <c r="Q479" s="37"/>
      <c r="R479" s="70"/>
      <c r="S479" s="70"/>
      <c r="T479" s="70"/>
      <c r="U479" s="71"/>
      <c r="V479" s="73"/>
      <c r="W479" s="75"/>
      <c r="X479" s="117"/>
      <c r="Y479" s="111"/>
      <c r="Z479" s="111"/>
      <c r="AH479" s="18"/>
      <c r="AI479" s="18"/>
      <c r="AJ479" s="18"/>
      <c r="AK479" s="18"/>
      <c r="AL479" s="18"/>
      <c r="AM479" s="18"/>
      <c r="AN479" s="18"/>
    </row>
    <row r="480" spans="1:40">
      <c r="A480" s="51"/>
      <c r="B480" s="51"/>
      <c r="C480" s="51"/>
      <c r="D480" s="51"/>
      <c r="E480" s="51"/>
      <c r="F480" s="55"/>
      <c r="G480" s="56"/>
      <c r="H480" s="57"/>
      <c r="I480" s="51"/>
      <c r="J480" s="51"/>
      <c r="K480" s="58"/>
      <c r="L480" s="59"/>
      <c r="M480" s="58"/>
      <c r="N480" s="58"/>
      <c r="O480" s="51"/>
      <c r="P480" s="51"/>
      <c r="Q480" s="37"/>
      <c r="R480" s="70"/>
      <c r="S480" s="70"/>
      <c r="T480" s="70"/>
      <c r="U480" s="71"/>
      <c r="V480" s="73"/>
      <c r="W480" s="75"/>
      <c r="X480" s="117"/>
      <c r="Y480" s="111"/>
      <c r="Z480" s="111"/>
      <c r="AH480" s="18"/>
      <c r="AI480" s="18"/>
      <c r="AJ480" s="18"/>
      <c r="AK480" s="18"/>
      <c r="AL480" s="18"/>
      <c r="AM480" s="18"/>
      <c r="AN480" s="18"/>
    </row>
    <row r="481" spans="1:40">
      <c r="A481" s="51"/>
      <c r="B481" s="51"/>
      <c r="C481" s="51"/>
      <c r="D481" s="51"/>
      <c r="E481" s="51"/>
      <c r="F481" s="55"/>
      <c r="G481" s="56"/>
      <c r="H481" s="57"/>
      <c r="I481" s="51"/>
      <c r="J481" s="51"/>
      <c r="K481" s="58"/>
      <c r="L481" s="59"/>
      <c r="M481" s="58"/>
      <c r="N481" s="58"/>
      <c r="O481" s="51"/>
      <c r="P481" s="51"/>
      <c r="Q481" s="37"/>
      <c r="R481" s="70"/>
      <c r="S481" s="70"/>
      <c r="T481" s="70"/>
      <c r="U481" s="71"/>
      <c r="V481" s="73"/>
      <c r="W481" s="75"/>
      <c r="X481" s="117"/>
      <c r="Y481" s="111"/>
      <c r="Z481" s="111"/>
      <c r="AH481" s="18"/>
      <c r="AI481" s="18"/>
      <c r="AJ481" s="18"/>
      <c r="AK481" s="18"/>
      <c r="AL481" s="18"/>
      <c r="AM481" s="18"/>
      <c r="AN481" s="18"/>
    </row>
    <row r="482" spans="1:40">
      <c r="A482" s="51"/>
      <c r="B482" s="51"/>
      <c r="C482" s="51"/>
      <c r="D482" s="51"/>
      <c r="E482" s="51"/>
      <c r="F482" s="55"/>
      <c r="G482" s="56"/>
      <c r="H482" s="57"/>
      <c r="I482" s="51"/>
      <c r="J482" s="51"/>
      <c r="K482" s="58"/>
      <c r="L482" s="59"/>
      <c r="M482" s="58"/>
      <c r="N482" s="58"/>
      <c r="O482" s="51"/>
      <c r="P482" s="51"/>
      <c r="Q482" s="37"/>
      <c r="R482" s="70"/>
      <c r="S482" s="70"/>
      <c r="T482" s="70"/>
      <c r="U482" s="71"/>
      <c r="V482" s="73"/>
      <c r="W482" s="75"/>
      <c r="X482" s="117"/>
      <c r="Y482" s="111"/>
      <c r="Z482" s="111"/>
      <c r="AH482" s="18"/>
      <c r="AI482" s="18"/>
      <c r="AJ482" s="18"/>
      <c r="AK482" s="18"/>
      <c r="AL482" s="18"/>
      <c r="AM482" s="18"/>
      <c r="AN482" s="18"/>
    </row>
    <row r="483" spans="1:40">
      <c r="A483" s="51"/>
      <c r="B483" s="51"/>
      <c r="C483" s="51"/>
      <c r="D483" s="51"/>
      <c r="E483" s="51"/>
      <c r="F483" s="55"/>
      <c r="G483" s="56"/>
      <c r="H483" s="57"/>
      <c r="I483" s="51"/>
      <c r="J483" s="51"/>
      <c r="K483" s="58"/>
      <c r="L483" s="59"/>
      <c r="M483" s="58"/>
      <c r="N483" s="58"/>
      <c r="O483" s="51"/>
      <c r="P483" s="51"/>
      <c r="Q483" s="37"/>
      <c r="R483" s="70"/>
      <c r="S483" s="70"/>
      <c r="T483" s="70"/>
      <c r="U483" s="71"/>
      <c r="V483" s="73"/>
      <c r="W483" s="75"/>
      <c r="X483" s="117"/>
      <c r="Y483" s="111"/>
      <c r="Z483" s="111"/>
      <c r="AH483" s="18"/>
      <c r="AI483" s="18"/>
      <c r="AJ483" s="18"/>
      <c r="AK483" s="18"/>
      <c r="AL483" s="18"/>
      <c r="AM483" s="18"/>
      <c r="AN483" s="18"/>
    </row>
    <row r="484" spans="1:40">
      <c r="A484" s="51"/>
      <c r="B484" s="51"/>
      <c r="C484" s="51"/>
      <c r="D484" s="51"/>
      <c r="E484" s="51"/>
      <c r="F484" s="55"/>
      <c r="G484" s="56"/>
      <c r="H484" s="57"/>
      <c r="I484" s="51"/>
      <c r="J484" s="51"/>
      <c r="K484" s="58"/>
      <c r="L484" s="59"/>
      <c r="M484" s="58"/>
      <c r="N484" s="58"/>
      <c r="O484" s="51"/>
      <c r="P484" s="51"/>
      <c r="Q484" s="37"/>
      <c r="R484" s="70"/>
      <c r="S484" s="70"/>
      <c r="T484" s="70"/>
      <c r="U484" s="71"/>
      <c r="V484" s="73"/>
      <c r="W484" s="75"/>
      <c r="X484" s="117"/>
      <c r="Y484" s="111"/>
      <c r="Z484" s="111"/>
      <c r="AH484" s="18"/>
      <c r="AI484" s="18"/>
      <c r="AJ484" s="18"/>
      <c r="AK484" s="18"/>
      <c r="AL484" s="18"/>
      <c r="AM484" s="18"/>
      <c r="AN484" s="18"/>
    </row>
    <row r="485" spans="1:40">
      <c r="A485" s="51"/>
      <c r="B485" s="51"/>
      <c r="C485" s="51"/>
      <c r="D485" s="51"/>
      <c r="E485" s="51"/>
      <c r="F485" s="55"/>
      <c r="G485" s="56"/>
      <c r="H485" s="57"/>
      <c r="I485" s="51"/>
      <c r="J485" s="51"/>
      <c r="K485" s="58"/>
      <c r="L485" s="59"/>
      <c r="M485" s="58"/>
      <c r="N485" s="58"/>
      <c r="O485" s="51"/>
      <c r="P485" s="51"/>
      <c r="Q485" s="37"/>
      <c r="R485" s="70"/>
      <c r="S485" s="70"/>
      <c r="T485" s="70"/>
      <c r="U485" s="71"/>
      <c r="V485" s="73"/>
      <c r="W485" s="75"/>
      <c r="X485" s="117"/>
      <c r="Y485" s="111"/>
      <c r="Z485" s="111"/>
      <c r="AH485" s="18"/>
      <c r="AI485" s="18"/>
      <c r="AJ485" s="18"/>
      <c r="AK485" s="18"/>
      <c r="AL485" s="18"/>
      <c r="AM485" s="18"/>
      <c r="AN485" s="18"/>
    </row>
    <row r="486" spans="1:40">
      <c r="A486" s="51"/>
      <c r="B486" s="51"/>
      <c r="C486" s="51"/>
      <c r="D486" s="51"/>
      <c r="E486" s="51"/>
      <c r="F486" s="55"/>
      <c r="G486" s="56"/>
      <c r="H486" s="57"/>
      <c r="I486" s="51"/>
      <c r="J486" s="51"/>
      <c r="K486" s="58"/>
      <c r="L486" s="59"/>
      <c r="M486" s="58"/>
      <c r="N486" s="58"/>
      <c r="O486" s="51"/>
      <c r="P486" s="51"/>
      <c r="Q486" s="37"/>
      <c r="R486" s="70"/>
      <c r="S486" s="70"/>
      <c r="T486" s="70"/>
      <c r="U486" s="71"/>
      <c r="V486" s="73"/>
      <c r="W486" s="75"/>
      <c r="X486" s="117"/>
      <c r="Y486" s="111"/>
      <c r="Z486" s="111"/>
      <c r="AH486" s="18"/>
      <c r="AI486" s="18"/>
      <c r="AJ486" s="18"/>
      <c r="AK486" s="18"/>
      <c r="AL486" s="18"/>
      <c r="AM486" s="18"/>
      <c r="AN486" s="18"/>
    </row>
    <row r="487" spans="1:40">
      <c r="A487" s="51"/>
      <c r="B487" s="51"/>
      <c r="C487" s="51"/>
      <c r="D487" s="51"/>
      <c r="E487" s="51"/>
      <c r="F487" s="55"/>
      <c r="G487" s="56"/>
      <c r="H487" s="57"/>
      <c r="I487" s="51"/>
      <c r="J487" s="51"/>
      <c r="K487" s="58"/>
      <c r="L487" s="59"/>
      <c r="M487" s="58"/>
      <c r="N487" s="58"/>
      <c r="O487" s="51"/>
      <c r="P487" s="51"/>
      <c r="Q487" s="37"/>
      <c r="R487" s="70"/>
      <c r="S487" s="70"/>
      <c r="T487" s="70"/>
      <c r="U487" s="71"/>
      <c r="V487" s="73"/>
      <c r="W487" s="75"/>
      <c r="X487" s="117"/>
      <c r="Y487" s="111"/>
      <c r="Z487" s="111"/>
      <c r="AH487" s="18"/>
      <c r="AI487" s="18"/>
      <c r="AJ487" s="18"/>
      <c r="AK487" s="18"/>
      <c r="AL487" s="18"/>
      <c r="AM487" s="18"/>
      <c r="AN487" s="18"/>
    </row>
    <row r="488" spans="1:40">
      <c r="A488" s="51"/>
      <c r="B488" s="51"/>
      <c r="C488" s="51"/>
      <c r="D488" s="51"/>
      <c r="E488" s="51"/>
      <c r="F488" s="55"/>
      <c r="G488" s="56"/>
      <c r="H488" s="57"/>
      <c r="I488" s="51"/>
      <c r="J488" s="51"/>
      <c r="K488" s="58"/>
      <c r="L488" s="59"/>
      <c r="M488" s="58"/>
      <c r="N488" s="58"/>
      <c r="O488" s="51"/>
      <c r="P488" s="51"/>
      <c r="Q488" s="37"/>
      <c r="R488" s="70"/>
      <c r="S488" s="70"/>
      <c r="T488" s="70"/>
      <c r="U488" s="71"/>
      <c r="V488" s="73"/>
      <c r="W488" s="75"/>
      <c r="X488" s="117"/>
      <c r="Y488" s="111"/>
      <c r="Z488" s="111"/>
      <c r="AH488" s="18"/>
      <c r="AI488" s="18"/>
      <c r="AJ488" s="18"/>
      <c r="AK488" s="18"/>
      <c r="AL488" s="18"/>
      <c r="AM488" s="18"/>
      <c r="AN488" s="18"/>
    </row>
    <row r="489" spans="1:40">
      <c r="A489" s="51"/>
      <c r="B489" s="51"/>
      <c r="C489" s="51"/>
      <c r="D489" s="51"/>
      <c r="E489" s="51"/>
      <c r="F489" s="55"/>
      <c r="G489" s="56"/>
      <c r="H489" s="57"/>
      <c r="I489" s="51"/>
      <c r="J489" s="51"/>
      <c r="K489" s="58"/>
      <c r="L489" s="59"/>
      <c r="M489" s="58"/>
      <c r="N489" s="58"/>
      <c r="O489" s="51"/>
      <c r="P489" s="51"/>
      <c r="Q489" s="37"/>
      <c r="R489" s="70"/>
      <c r="S489" s="70"/>
      <c r="T489" s="70"/>
      <c r="U489" s="71"/>
      <c r="V489" s="73"/>
      <c r="W489" s="75"/>
      <c r="X489" s="117"/>
      <c r="Y489" s="111"/>
      <c r="Z489" s="111"/>
      <c r="AH489" s="18"/>
      <c r="AI489" s="18"/>
      <c r="AJ489" s="18"/>
      <c r="AK489" s="18"/>
      <c r="AL489" s="18"/>
      <c r="AM489" s="18"/>
      <c r="AN489" s="18"/>
    </row>
    <row r="490" spans="1:40">
      <c r="A490" s="51"/>
      <c r="B490" s="51"/>
      <c r="C490" s="51"/>
      <c r="D490" s="51"/>
      <c r="E490" s="51"/>
      <c r="F490" s="55"/>
      <c r="G490" s="56"/>
      <c r="H490" s="57"/>
      <c r="I490" s="51"/>
      <c r="J490" s="51"/>
      <c r="K490" s="58"/>
      <c r="L490" s="59"/>
      <c r="M490" s="58"/>
      <c r="N490" s="58"/>
      <c r="O490" s="51"/>
      <c r="P490" s="51"/>
      <c r="Q490" s="37"/>
      <c r="R490" s="70"/>
      <c r="S490" s="70"/>
      <c r="T490" s="70"/>
      <c r="U490" s="71"/>
      <c r="V490" s="73"/>
      <c r="W490" s="75"/>
      <c r="X490" s="117"/>
      <c r="Y490" s="111"/>
      <c r="Z490" s="111"/>
      <c r="AH490" s="18"/>
      <c r="AI490" s="18"/>
      <c r="AJ490" s="18"/>
      <c r="AK490" s="18"/>
      <c r="AL490" s="18"/>
      <c r="AM490" s="18"/>
      <c r="AN490" s="18"/>
    </row>
    <row r="491" spans="1:40">
      <c r="A491" s="51"/>
      <c r="B491" s="51"/>
      <c r="C491" s="51"/>
      <c r="D491" s="51"/>
      <c r="E491" s="51"/>
      <c r="F491" s="55"/>
      <c r="G491" s="56"/>
      <c r="H491" s="57"/>
      <c r="I491" s="51"/>
      <c r="J491" s="51"/>
      <c r="K491" s="58"/>
      <c r="L491" s="59"/>
      <c r="M491" s="58"/>
      <c r="N491" s="58"/>
      <c r="O491" s="51"/>
      <c r="P491" s="51"/>
      <c r="Q491" s="37"/>
      <c r="R491" s="70"/>
      <c r="S491" s="70"/>
      <c r="T491" s="70"/>
      <c r="U491" s="71"/>
      <c r="V491" s="73"/>
      <c r="W491" s="75"/>
      <c r="X491" s="117"/>
      <c r="Y491" s="111"/>
      <c r="Z491" s="111"/>
      <c r="AH491" s="18"/>
      <c r="AI491" s="18"/>
      <c r="AJ491" s="18"/>
      <c r="AK491" s="18"/>
      <c r="AL491" s="18"/>
      <c r="AM491" s="18"/>
      <c r="AN491" s="18"/>
    </row>
    <row r="492" spans="1:40">
      <c r="A492" s="51"/>
      <c r="B492" s="51"/>
      <c r="C492" s="51"/>
      <c r="D492" s="51"/>
      <c r="E492" s="51"/>
      <c r="F492" s="55"/>
      <c r="G492" s="56"/>
      <c r="H492" s="57"/>
      <c r="I492" s="51"/>
      <c r="J492" s="51"/>
      <c r="K492" s="58"/>
      <c r="L492" s="59"/>
      <c r="M492" s="58"/>
      <c r="N492" s="58"/>
      <c r="O492" s="51"/>
      <c r="P492" s="51"/>
      <c r="Q492" s="37"/>
      <c r="R492" s="70"/>
      <c r="S492" s="70"/>
      <c r="T492" s="70"/>
      <c r="U492" s="71"/>
      <c r="V492" s="73"/>
      <c r="W492" s="75"/>
      <c r="X492" s="117"/>
      <c r="Y492" s="111"/>
      <c r="Z492" s="111"/>
      <c r="AH492" s="18"/>
      <c r="AI492" s="18"/>
      <c r="AJ492" s="18"/>
      <c r="AK492" s="18"/>
      <c r="AL492" s="18"/>
      <c r="AM492" s="18"/>
      <c r="AN492" s="18"/>
    </row>
    <row r="493" spans="1:40">
      <c r="A493" s="51"/>
      <c r="B493" s="51"/>
      <c r="C493" s="51"/>
      <c r="D493" s="51"/>
      <c r="E493" s="51"/>
      <c r="F493" s="55"/>
      <c r="G493" s="56"/>
      <c r="H493" s="57"/>
      <c r="I493" s="51"/>
      <c r="J493" s="51"/>
      <c r="K493" s="58"/>
      <c r="L493" s="59"/>
      <c r="M493" s="58"/>
      <c r="N493" s="58"/>
      <c r="O493" s="51"/>
      <c r="P493" s="51"/>
      <c r="Q493" s="37"/>
      <c r="R493" s="70"/>
      <c r="S493" s="70"/>
      <c r="T493" s="70"/>
      <c r="U493" s="71"/>
      <c r="V493" s="73"/>
      <c r="W493" s="75"/>
      <c r="X493" s="117"/>
      <c r="Y493" s="111"/>
      <c r="Z493" s="111"/>
      <c r="AH493" s="18"/>
      <c r="AI493" s="18"/>
      <c r="AJ493" s="18"/>
      <c r="AK493" s="18"/>
      <c r="AL493" s="18"/>
      <c r="AM493" s="18"/>
      <c r="AN493" s="18"/>
    </row>
    <row r="494" spans="1:40">
      <c r="A494" s="51"/>
      <c r="B494" s="51"/>
      <c r="C494" s="51"/>
      <c r="D494" s="51"/>
      <c r="E494" s="51"/>
      <c r="F494" s="55"/>
      <c r="G494" s="56"/>
      <c r="H494" s="57"/>
      <c r="I494" s="51"/>
      <c r="J494" s="51"/>
      <c r="K494" s="58"/>
      <c r="L494" s="59"/>
      <c r="M494" s="58"/>
      <c r="N494" s="58"/>
      <c r="O494" s="51"/>
      <c r="P494" s="51"/>
      <c r="Q494" s="37"/>
      <c r="R494" s="70"/>
      <c r="S494" s="70"/>
      <c r="T494" s="70"/>
      <c r="U494" s="71"/>
      <c r="V494" s="73"/>
      <c r="W494" s="75"/>
      <c r="X494" s="117"/>
      <c r="Y494" s="111"/>
      <c r="Z494" s="111"/>
      <c r="AH494" s="18"/>
      <c r="AI494" s="18"/>
      <c r="AJ494" s="18"/>
      <c r="AK494" s="18"/>
      <c r="AL494" s="18"/>
      <c r="AM494" s="18"/>
      <c r="AN494" s="18"/>
    </row>
    <row r="495" spans="1:40">
      <c r="A495" s="51"/>
      <c r="B495" s="51"/>
      <c r="C495" s="51"/>
      <c r="D495" s="51"/>
      <c r="E495" s="51"/>
      <c r="F495" s="55"/>
      <c r="G495" s="56"/>
      <c r="H495" s="57"/>
      <c r="I495" s="51"/>
      <c r="J495" s="51"/>
      <c r="K495" s="58"/>
      <c r="L495" s="59"/>
      <c r="M495" s="58"/>
      <c r="N495" s="58"/>
      <c r="O495" s="51"/>
      <c r="P495" s="51"/>
      <c r="Q495" s="37"/>
      <c r="R495" s="70"/>
      <c r="S495" s="70"/>
      <c r="T495" s="70"/>
      <c r="U495" s="71"/>
      <c r="V495" s="73"/>
      <c r="W495" s="75"/>
      <c r="X495" s="117"/>
      <c r="Y495" s="111"/>
      <c r="Z495" s="111"/>
      <c r="AH495" s="18"/>
      <c r="AI495" s="18"/>
      <c r="AJ495" s="18"/>
      <c r="AK495" s="18"/>
      <c r="AL495" s="18"/>
      <c r="AM495" s="18"/>
      <c r="AN495" s="18"/>
    </row>
    <row r="496" spans="1:40">
      <c r="A496" s="51"/>
      <c r="B496" s="51"/>
      <c r="C496" s="51"/>
      <c r="D496" s="51"/>
      <c r="E496" s="51"/>
      <c r="F496" s="55"/>
      <c r="G496" s="56"/>
      <c r="H496" s="57"/>
      <c r="I496" s="51"/>
      <c r="J496" s="51"/>
      <c r="K496" s="58"/>
      <c r="L496" s="59"/>
      <c r="M496" s="58"/>
      <c r="N496" s="58"/>
      <c r="O496" s="51"/>
      <c r="P496" s="51"/>
      <c r="Q496" s="37"/>
      <c r="R496" s="70"/>
      <c r="S496" s="70"/>
      <c r="T496" s="70"/>
      <c r="U496" s="71"/>
      <c r="V496" s="73"/>
      <c r="W496" s="75"/>
      <c r="X496" s="117"/>
      <c r="Y496" s="111"/>
      <c r="Z496" s="111"/>
      <c r="AH496" s="18"/>
      <c r="AI496" s="18"/>
      <c r="AJ496" s="18"/>
      <c r="AK496" s="18"/>
      <c r="AL496" s="18"/>
      <c r="AM496" s="18"/>
      <c r="AN496" s="18"/>
    </row>
    <row r="497" spans="1:40">
      <c r="A497" s="51"/>
      <c r="B497" s="51"/>
      <c r="C497" s="51"/>
      <c r="D497" s="51"/>
      <c r="E497" s="51"/>
      <c r="F497" s="55"/>
      <c r="G497" s="56"/>
      <c r="H497" s="57"/>
      <c r="I497" s="51"/>
      <c r="J497" s="51"/>
      <c r="K497" s="58"/>
      <c r="L497" s="59"/>
      <c r="M497" s="58"/>
      <c r="N497" s="58"/>
      <c r="O497" s="51"/>
      <c r="P497" s="51"/>
      <c r="Q497" s="37"/>
      <c r="R497" s="70"/>
      <c r="S497" s="70"/>
      <c r="T497" s="70"/>
      <c r="U497" s="71"/>
      <c r="V497" s="73"/>
      <c r="W497" s="75"/>
      <c r="X497" s="117"/>
      <c r="Y497" s="111"/>
      <c r="Z497" s="111"/>
      <c r="AH497" s="18"/>
      <c r="AI497" s="18"/>
      <c r="AJ497" s="18"/>
      <c r="AK497" s="18"/>
      <c r="AL497" s="18"/>
      <c r="AM497" s="18"/>
      <c r="AN497" s="18"/>
    </row>
    <row r="498" spans="1:40">
      <c r="A498" s="51"/>
      <c r="B498" s="51"/>
      <c r="C498" s="51"/>
      <c r="D498" s="51"/>
      <c r="E498" s="51"/>
      <c r="F498" s="55"/>
      <c r="G498" s="56"/>
      <c r="H498" s="57"/>
      <c r="I498" s="51"/>
      <c r="J498" s="51"/>
      <c r="K498" s="58"/>
      <c r="L498" s="59"/>
      <c r="M498" s="58"/>
      <c r="N498" s="58"/>
      <c r="O498" s="51"/>
      <c r="P498" s="51"/>
      <c r="Q498" s="37"/>
      <c r="R498" s="70"/>
      <c r="S498" s="70"/>
      <c r="T498" s="70"/>
      <c r="U498" s="71"/>
      <c r="V498" s="73"/>
      <c r="W498" s="75"/>
      <c r="X498" s="117"/>
      <c r="Y498" s="111"/>
      <c r="Z498" s="111"/>
      <c r="AH498" s="18"/>
      <c r="AI498" s="18"/>
      <c r="AJ498" s="18"/>
      <c r="AK498" s="18"/>
      <c r="AL498" s="18"/>
      <c r="AM498" s="18"/>
      <c r="AN498" s="18"/>
    </row>
    <row r="499" spans="1:40">
      <c r="A499" s="51"/>
      <c r="B499" s="51"/>
      <c r="C499" s="51"/>
      <c r="D499" s="51"/>
      <c r="E499" s="51"/>
      <c r="F499" s="55"/>
      <c r="G499" s="56"/>
      <c r="H499" s="57"/>
      <c r="I499" s="51"/>
      <c r="J499" s="51"/>
      <c r="K499" s="58"/>
      <c r="L499" s="59"/>
      <c r="M499" s="58"/>
      <c r="N499" s="58"/>
      <c r="O499" s="51"/>
      <c r="P499" s="51"/>
      <c r="Q499" s="37"/>
      <c r="R499" s="70"/>
      <c r="S499" s="70"/>
      <c r="T499" s="70"/>
      <c r="U499" s="71"/>
      <c r="V499" s="73"/>
      <c r="W499" s="75"/>
      <c r="X499" s="117"/>
      <c r="Y499" s="111"/>
      <c r="Z499" s="111"/>
      <c r="AH499" s="18"/>
      <c r="AI499" s="18"/>
      <c r="AJ499" s="18"/>
      <c r="AK499" s="18"/>
      <c r="AL499" s="18"/>
      <c r="AM499" s="18"/>
      <c r="AN499" s="18"/>
    </row>
    <row r="500" spans="1:40">
      <c r="A500" s="51"/>
      <c r="B500" s="51"/>
      <c r="C500" s="51"/>
      <c r="D500" s="51"/>
      <c r="E500" s="51"/>
      <c r="F500" s="55"/>
      <c r="G500" s="56"/>
      <c r="H500" s="57"/>
      <c r="I500" s="51"/>
      <c r="J500" s="51"/>
      <c r="K500" s="58"/>
      <c r="L500" s="59"/>
      <c r="M500" s="58"/>
      <c r="N500" s="58"/>
      <c r="O500" s="51"/>
      <c r="P500" s="51"/>
      <c r="Q500" s="37"/>
      <c r="R500" s="70"/>
      <c r="S500" s="70"/>
      <c r="T500" s="70"/>
      <c r="U500" s="71"/>
      <c r="V500" s="73"/>
      <c r="W500" s="75"/>
      <c r="X500" s="117"/>
      <c r="Y500" s="111"/>
      <c r="Z500" s="111"/>
      <c r="AH500" s="18"/>
      <c r="AI500" s="18"/>
      <c r="AJ500" s="18"/>
      <c r="AK500" s="18"/>
      <c r="AL500" s="18"/>
      <c r="AM500" s="18"/>
      <c r="AN500" s="18"/>
    </row>
    <row r="501" spans="1:40">
      <c r="A501" s="51"/>
      <c r="B501" s="51"/>
      <c r="C501" s="51"/>
      <c r="D501" s="51"/>
      <c r="E501" s="51"/>
      <c r="F501" s="55"/>
      <c r="G501" s="56"/>
      <c r="H501" s="57"/>
      <c r="I501" s="51"/>
      <c r="J501" s="51"/>
      <c r="K501" s="58"/>
      <c r="L501" s="59"/>
      <c r="M501" s="58"/>
      <c r="N501" s="58"/>
      <c r="O501" s="51"/>
      <c r="P501" s="51"/>
      <c r="Q501" s="37"/>
      <c r="R501" s="70"/>
      <c r="S501" s="70"/>
      <c r="T501" s="70"/>
      <c r="U501" s="71"/>
      <c r="V501" s="73"/>
      <c r="W501" s="75"/>
      <c r="X501" s="117"/>
      <c r="Y501" s="111"/>
      <c r="Z501" s="111"/>
      <c r="AH501" s="18"/>
      <c r="AI501" s="18"/>
      <c r="AJ501" s="18"/>
      <c r="AK501" s="18"/>
      <c r="AL501" s="18"/>
      <c r="AM501" s="18"/>
      <c r="AN501" s="18"/>
    </row>
    <row r="502" spans="1:40">
      <c r="A502" s="51"/>
      <c r="B502" s="51"/>
      <c r="C502" s="51"/>
      <c r="D502" s="51"/>
      <c r="E502" s="51"/>
      <c r="F502" s="55"/>
      <c r="G502" s="56"/>
      <c r="H502" s="57"/>
      <c r="I502" s="51"/>
      <c r="J502" s="51"/>
      <c r="K502" s="58"/>
      <c r="L502" s="59"/>
      <c r="M502" s="58"/>
      <c r="N502" s="58"/>
      <c r="O502" s="51"/>
      <c r="P502" s="51"/>
      <c r="Q502" s="37"/>
      <c r="R502" s="70"/>
      <c r="S502" s="70"/>
      <c r="T502" s="70"/>
      <c r="U502" s="71"/>
      <c r="V502" s="73"/>
      <c r="W502" s="75"/>
      <c r="X502" s="117"/>
      <c r="Y502" s="111"/>
      <c r="Z502" s="111"/>
      <c r="AH502" s="18"/>
      <c r="AI502" s="18"/>
      <c r="AJ502" s="18"/>
      <c r="AK502" s="18"/>
      <c r="AL502" s="18"/>
      <c r="AM502" s="18"/>
      <c r="AN502" s="18"/>
    </row>
    <row r="503" spans="1:40">
      <c r="A503" s="51"/>
      <c r="B503" s="51"/>
      <c r="C503" s="51"/>
      <c r="D503" s="51"/>
      <c r="E503" s="51"/>
      <c r="F503" s="55"/>
      <c r="G503" s="56"/>
      <c r="H503" s="57"/>
      <c r="I503" s="51"/>
      <c r="J503" s="51"/>
      <c r="K503" s="58"/>
      <c r="L503" s="59"/>
      <c r="M503" s="58"/>
      <c r="N503" s="58"/>
      <c r="O503" s="51"/>
      <c r="P503" s="51"/>
      <c r="Q503" s="37"/>
      <c r="R503" s="70"/>
      <c r="S503" s="70"/>
      <c r="T503" s="70"/>
      <c r="U503" s="71"/>
      <c r="V503" s="73"/>
      <c r="W503" s="75"/>
      <c r="X503" s="117"/>
      <c r="Y503" s="111"/>
      <c r="Z503" s="111"/>
      <c r="AH503" s="18"/>
      <c r="AI503" s="18"/>
      <c r="AJ503" s="18"/>
      <c r="AK503" s="18"/>
      <c r="AL503" s="18"/>
      <c r="AM503" s="18"/>
      <c r="AN503" s="18"/>
    </row>
    <row r="504" spans="1:40">
      <c r="A504" s="51"/>
      <c r="B504" s="51"/>
      <c r="C504" s="51"/>
      <c r="D504" s="51"/>
      <c r="E504" s="51"/>
      <c r="F504" s="55"/>
      <c r="G504" s="56"/>
      <c r="H504" s="57"/>
      <c r="I504" s="51"/>
      <c r="J504" s="51"/>
      <c r="K504" s="58"/>
      <c r="L504" s="59"/>
      <c r="M504" s="58"/>
      <c r="N504" s="58"/>
      <c r="O504" s="51"/>
      <c r="P504" s="51"/>
      <c r="Q504" s="37"/>
      <c r="R504" s="70"/>
      <c r="S504" s="70"/>
      <c r="T504" s="70"/>
      <c r="U504" s="71"/>
      <c r="V504" s="73"/>
      <c r="W504" s="75"/>
      <c r="X504" s="117"/>
      <c r="Y504" s="111"/>
      <c r="Z504" s="111"/>
      <c r="AH504" s="18"/>
      <c r="AI504" s="18"/>
      <c r="AJ504" s="18"/>
      <c r="AK504" s="18"/>
      <c r="AL504" s="18"/>
      <c r="AM504" s="18"/>
      <c r="AN504" s="18"/>
    </row>
    <row r="505" spans="1:40">
      <c r="A505" s="51"/>
      <c r="B505" s="51"/>
      <c r="C505" s="51"/>
      <c r="D505" s="51"/>
      <c r="E505" s="51"/>
      <c r="F505" s="55"/>
      <c r="G505" s="56"/>
      <c r="H505" s="57"/>
      <c r="I505" s="51"/>
      <c r="J505" s="51"/>
      <c r="K505" s="58"/>
      <c r="L505" s="59"/>
      <c r="M505" s="58"/>
      <c r="N505" s="58"/>
      <c r="O505" s="51"/>
      <c r="P505" s="51"/>
      <c r="Q505" s="37"/>
      <c r="R505" s="70"/>
      <c r="S505" s="70"/>
      <c r="T505" s="70"/>
      <c r="U505" s="71"/>
      <c r="V505" s="73"/>
      <c r="W505" s="75"/>
      <c r="X505" s="117"/>
      <c r="Y505" s="111"/>
      <c r="Z505" s="111"/>
      <c r="AH505" s="18"/>
      <c r="AI505" s="18"/>
      <c r="AJ505" s="18"/>
      <c r="AK505" s="18"/>
      <c r="AL505" s="18"/>
      <c r="AM505" s="18"/>
      <c r="AN505" s="18"/>
    </row>
    <row r="506" spans="1:40">
      <c r="A506" s="51"/>
      <c r="B506" s="51"/>
      <c r="C506" s="51"/>
      <c r="D506" s="51"/>
      <c r="E506" s="51"/>
      <c r="F506" s="55"/>
      <c r="G506" s="56"/>
      <c r="H506" s="57"/>
      <c r="I506" s="51"/>
      <c r="J506" s="51"/>
      <c r="K506" s="58"/>
      <c r="L506" s="59"/>
      <c r="M506" s="58"/>
      <c r="N506" s="58"/>
      <c r="O506" s="51"/>
      <c r="P506" s="51"/>
      <c r="Q506" s="37"/>
      <c r="R506" s="70"/>
      <c r="S506" s="70"/>
      <c r="T506" s="70"/>
      <c r="U506" s="71"/>
      <c r="V506" s="73"/>
      <c r="W506" s="75"/>
      <c r="X506" s="117"/>
      <c r="Y506" s="111"/>
      <c r="Z506" s="111"/>
      <c r="AH506" s="18"/>
      <c r="AI506" s="18"/>
      <c r="AJ506" s="18"/>
      <c r="AK506" s="18"/>
      <c r="AL506" s="18"/>
      <c r="AM506" s="18"/>
      <c r="AN506" s="18"/>
    </row>
    <row r="507" spans="1:40">
      <c r="A507" s="51"/>
      <c r="B507" s="51"/>
      <c r="C507" s="51"/>
      <c r="D507" s="51"/>
      <c r="E507" s="51"/>
      <c r="F507" s="55"/>
      <c r="G507" s="56"/>
      <c r="H507" s="57"/>
      <c r="I507" s="51"/>
      <c r="J507" s="51"/>
      <c r="K507" s="58"/>
      <c r="L507" s="59"/>
      <c r="M507" s="58"/>
      <c r="N507" s="58"/>
      <c r="O507" s="51"/>
      <c r="P507" s="51"/>
      <c r="Q507" s="37"/>
      <c r="R507" s="70"/>
      <c r="S507" s="70"/>
      <c r="T507" s="70"/>
      <c r="U507" s="71"/>
      <c r="V507" s="73"/>
      <c r="W507" s="75"/>
      <c r="X507" s="117"/>
      <c r="Y507" s="111"/>
      <c r="Z507" s="111"/>
      <c r="AH507" s="18"/>
      <c r="AI507" s="18"/>
      <c r="AJ507" s="18"/>
      <c r="AK507" s="18"/>
      <c r="AL507" s="18"/>
      <c r="AM507" s="18"/>
      <c r="AN507" s="18"/>
    </row>
    <row r="508" spans="1:40">
      <c r="A508" s="51"/>
      <c r="B508" s="51"/>
      <c r="C508" s="51"/>
      <c r="D508" s="51"/>
      <c r="E508" s="51"/>
      <c r="F508" s="55"/>
      <c r="G508" s="56"/>
      <c r="H508" s="57"/>
      <c r="I508" s="51"/>
      <c r="J508" s="51"/>
      <c r="K508" s="58"/>
      <c r="L508" s="59"/>
      <c r="M508" s="58"/>
      <c r="N508" s="58"/>
      <c r="O508" s="51"/>
      <c r="P508" s="51"/>
      <c r="Q508" s="37"/>
      <c r="R508" s="70"/>
      <c r="S508" s="70"/>
      <c r="T508" s="70"/>
      <c r="U508" s="71"/>
      <c r="V508" s="73"/>
      <c r="W508" s="75"/>
      <c r="X508" s="117"/>
      <c r="Y508" s="111"/>
      <c r="Z508" s="111"/>
      <c r="AH508" s="18"/>
      <c r="AI508" s="18"/>
      <c r="AJ508" s="18"/>
      <c r="AK508" s="18"/>
      <c r="AL508" s="18"/>
      <c r="AM508" s="18"/>
      <c r="AN508" s="18"/>
    </row>
    <row r="509" spans="1:40">
      <c r="A509" s="51"/>
      <c r="B509" s="51"/>
      <c r="C509" s="51"/>
      <c r="D509" s="51"/>
      <c r="E509" s="51"/>
      <c r="F509" s="55"/>
      <c r="G509" s="56"/>
      <c r="H509" s="57"/>
      <c r="I509" s="51"/>
      <c r="J509" s="51"/>
      <c r="K509" s="58"/>
      <c r="L509" s="59"/>
      <c r="M509" s="58"/>
      <c r="N509" s="58"/>
      <c r="O509" s="51"/>
      <c r="P509" s="51"/>
      <c r="Q509" s="37"/>
      <c r="R509" s="70"/>
      <c r="S509" s="70"/>
      <c r="T509" s="70"/>
      <c r="U509" s="71"/>
      <c r="V509" s="73"/>
      <c r="W509" s="75"/>
      <c r="X509" s="117"/>
      <c r="Y509" s="111"/>
      <c r="Z509" s="111"/>
      <c r="AH509" s="18"/>
      <c r="AI509" s="18"/>
      <c r="AJ509" s="18"/>
      <c r="AK509" s="18"/>
      <c r="AL509" s="18"/>
      <c r="AM509" s="18"/>
      <c r="AN509" s="18"/>
    </row>
    <row r="510" spans="1:40">
      <c r="A510" s="51"/>
      <c r="B510" s="51"/>
      <c r="C510" s="51"/>
      <c r="D510" s="51"/>
      <c r="E510" s="51"/>
      <c r="F510" s="55"/>
      <c r="G510" s="56"/>
      <c r="H510" s="57"/>
      <c r="I510" s="51"/>
      <c r="J510" s="51"/>
      <c r="K510" s="58"/>
      <c r="L510" s="59"/>
      <c r="M510" s="58"/>
      <c r="N510" s="58"/>
      <c r="O510" s="51"/>
      <c r="P510" s="51"/>
      <c r="Q510" s="37"/>
      <c r="R510" s="70"/>
      <c r="S510" s="70"/>
      <c r="T510" s="70"/>
      <c r="U510" s="71"/>
      <c r="V510" s="73"/>
      <c r="W510" s="75"/>
      <c r="X510" s="117"/>
      <c r="Y510" s="111"/>
      <c r="Z510" s="111"/>
      <c r="AH510" s="18"/>
      <c r="AI510" s="18"/>
      <c r="AJ510" s="18"/>
      <c r="AK510" s="18"/>
      <c r="AL510" s="18"/>
      <c r="AM510" s="18"/>
      <c r="AN510" s="18"/>
    </row>
    <row r="511" spans="1:40">
      <c r="A511" s="51"/>
      <c r="B511" s="51"/>
      <c r="C511" s="51"/>
      <c r="D511" s="51"/>
      <c r="E511" s="51"/>
      <c r="F511" s="55"/>
      <c r="G511" s="56"/>
      <c r="H511" s="57"/>
      <c r="I511" s="51"/>
      <c r="J511" s="51"/>
      <c r="K511" s="58"/>
      <c r="L511" s="59"/>
      <c r="M511" s="58"/>
      <c r="N511" s="58"/>
      <c r="O511" s="51"/>
      <c r="P511" s="51"/>
      <c r="Q511" s="37"/>
      <c r="R511" s="70"/>
      <c r="S511" s="70"/>
      <c r="T511" s="70"/>
      <c r="U511" s="71"/>
      <c r="V511" s="73"/>
      <c r="W511" s="75"/>
      <c r="X511" s="117"/>
      <c r="Y511" s="111"/>
      <c r="Z511" s="111"/>
      <c r="AH511" s="18"/>
      <c r="AI511" s="18"/>
      <c r="AJ511" s="18"/>
      <c r="AK511" s="18"/>
      <c r="AL511" s="18"/>
      <c r="AM511" s="18"/>
      <c r="AN511" s="18"/>
    </row>
    <row r="512" spans="1:40">
      <c r="A512" s="51"/>
      <c r="B512" s="51"/>
      <c r="C512" s="51"/>
      <c r="D512" s="51"/>
      <c r="E512" s="51"/>
      <c r="F512" s="55"/>
      <c r="G512" s="56"/>
      <c r="H512" s="57"/>
      <c r="I512" s="51"/>
      <c r="J512" s="51"/>
      <c r="K512" s="58"/>
      <c r="L512" s="59"/>
      <c r="M512" s="58"/>
      <c r="N512" s="58"/>
      <c r="O512" s="51"/>
      <c r="P512" s="51"/>
      <c r="Q512" s="37"/>
      <c r="R512" s="70"/>
      <c r="S512" s="70"/>
      <c r="T512" s="70"/>
      <c r="U512" s="71"/>
      <c r="V512" s="73"/>
      <c r="W512" s="75"/>
      <c r="X512" s="117"/>
      <c r="Y512" s="111"/>
      <c r="Z512" s="111"/>
      <c r="AH512" s="18"/>
      <c r="AI512" s="18"/>
      <c r="AJ512" s="18"/>
      <c r="AK512" s="18"/>
      <c r="AL512" s="18"/>
      <c r="AM512" s="18"/>
      <c r="AN512" s="18"/>
    </row>
    <row r="513" spans="1:40">
      <c r="A513" s="51"/>
      <c r="B513" s="51"/>
      <c r="C513" s="51"/>
      <c r="D513" s="51"/>
      <c r="E513" s="51"/>
      <c r="F513" s="55"/>
      <c r="G513" s="56"/>
      <c r="H513" s="57"/>
      <c r="I513" s="51"/>
      <c r="J513" s="51"/>
      <c r="K513" s="58"/>
      <c r="L513" s="59"/>
      <c r="M513" s="58"/>
      <c r="N513" s="58"/>
      <c r="O513" s="51"/>
      <c r="P513" s="51"/>
      <c r="Q513" s="37"/>
      <c r="R513" s="70"/>
      <c r="S513" s="70"/>
      <c r="T513" s="70"/>
      <c r="U513" s="71"/>
      <c r="V513" s="73"/>
      <c r="W513" s="75"/>
      <c r="X513" s="117"/>
      <c r="Y513" s="111"/>
      <c r="Z513" s="111"/>
      <c r="AH513" s="18"/>
      <c r="AI513" s="18"/>
      <c r="AJ513" s="18"/>
      <c r="AK513" s="18"/>
      <c r="AL513" s="18"/>
      <c r="AM513" s="18"/>
      <c r="AN513" s="18"/>
    </row>
    <row r="514" spans="1:40">
      <c r="A514" s="51"/>
      <c r="B514" s="51"/>
      <c r="C514" s="51"/>
      <c r="D514" s="51"/>
      <c r="E514" s="51"/>
      <c r="F514" s="55"/>
      <c r="G514" s="56"/>
      <c r="H514" s="57"/>
      <c r="I514" s="51"/>
      <c r="J514" s="51"/>
      <c r="K514" s="58"/>
      <c r="L514" s="59"/>
      <c r="M514" s="58"/>
      <c r="N514" s="58"/>
      <c r="O514" s="51"/>
      <c r="P514" s="51"/>
      <c r="Q514" s="37"/>
      <c r="R514" s="70"/>
      <c r="S514" s="70"/>
      <c r="T514" s="70"/>
      <c r="U514" s="71"/>
      <c r="V514" s="73"/>
      <c r="W514" s="75"/>
      <c r="X514" s="117"/>
      <c r="Y514" s="111"/>
      <c r="Z514" s="111"/>
      <c r="AH514" s="18"/>
      <c r="AI514" s="18"/>
      <c r="AJ514" s="18"/>
      <c r="AK514" s="18"/>
      <c r="AL514" s="18"/>
      <c r="AM514" s="18"/>
      <c r="AN514" s="18"/>
    </row>
    <row r="515" spans="1:40">
      <c r="A515" s="51"/>
      <c r="B515" s="51"/>
      <c r="C515" s="51"/>
      <c r="D515" s="51"/>
      <c r="E515" s="51"/>
      <c r="F515" s="55"/>
      <c r="G515" s="56"/>
      <c r="H515" s="57"/>
      <c r="I515" s="51"/>
      <c r="J515" s="51"/>
      <c r="K515" s="58"/>
      <c r="L515" s="59"/>
      <c r="M515" s="58"/>
      <c r="N515" s="58"/>
      <c r="O515" s="51"/>
      <c r="P515" s="51"/>
      <c r="Q515" s="37"/>
      <c r="R515" s="70"/>
      <c r="S515" s="70"/>
      <c r="T515" s="70"/>
      <c r="U515" s="71"/>
      <c r="V515" s="73"/>
      <c r="W515" s="75"/>
      <c r="X515" s="117"/>
      <c r="Y515" s="111"/>
      <c r="Z515" s="111"/>
      <c r="AH515" s="18"/>
      <c r="AI515" s="18"/>
      <c r="AJ515" s="18"/>
      <c r="AK515" s="18"/>
      <c r="AL515" s="18"/>
      <c r="AM515" s="18"/>
      <c r="AN515" s="18"/>
    </row>
    <row r="516" spans="1:40">
      <c r="A516" s="51"/>
      <c r="B516" s="51"/>
      <c r="C516" s="51"/>
      <c r="D516" s="51"/>
      <c r="E516" s="51"/>
      <c r="F516" s="55"/>
      <c r="G516" s="56"/>
      <c r="H516" s="57"/>
      <c r="I516" s="51"/>
      <c r="J516" s="51"/>
      <c r="K516" s="58"/>
      <c r="L516" s="59"/>
      <c r="M516" s="58"/>
      <c r="N516" s="58"/>
      <c r="O516" s="51"/>
      <c r="P516" s="51"/>
      <c r="Q516" s="37"/>
      <c r="R516" s="70"/>
      <c r="S516" s="70"/>
      <c r="T516" s="70"/>
      <c r="U516" s="71"/>
      <c r="V516" s="73"/>
      <c r="W516" s="75"/>
      <c r="X516" s="117"/>
      <c r="Y516" s="111"/>
      <c r="Z516" s="111"/>
      <c r="AH516" s="18"/>
      <c r="AI516" s="18"/>
      <c r="AJ516" s="18"/>
      <c r="AK516" s="18"/>
      <c r="AL516" s="18"/>
      <c r="AM516" s="18"/>
      <c r="AN516" s="18"/>
    </row>
    <row r="517" spans="1:40">
      <c r="A517" s="51"/>
      <c r="B517" s="51"/>
      <c r="C517" s="51"/>
      <c r="D517" s="51"/>
      <c r="E517" s="51"/>
      <c r="F517" s="55"/>
      <c r="G517" s="56"/>
      <c r="H517" s="57"/>
      <c r="I517" s="51"/>
      <c r="J517" s="51"/>
      <c r="K517" s="58"/>
      <c r="L517" s="59"/>
      <c r="M517" s="58"/>
      <c r="N517" s="58"/>
      <c r="O517" s="51"/>
      <c r="P517" s="51"/>
      <c r="Q517" s="37"/>
      <c r="R517" s="70"/>
      <c r="S517" s="70"/>
      <c r="T517" s="70"/>
      <c r="U517" s="71"/>
      <c r="V517" s="73"/>
      <c r="W517" s="75"/>
      <c r="X517" s="117"/>
      <c r="Y517" s="111"/>
      <c r="Z517" s="111"/>
      <c r="AH517" s="18"/>
      <c r="AI517" s="18"/>
      <c r="AJ517" s="18"/>
      <c r="AK517" s="18"/>
      <c r="AL517" s="18"/>
      <c r="AM517" s="18"/>
      <c r="AN517" s="18"/>
    </row>
    <row r="518" spans="1:40">
      <c r="A518" s="51"/>
      <c r="B518" s="51"/>
      <c r="C518" s="51"/>
      <c r="D518" s="51"/>
      <c r="E518" s="51"/>
      <c r="F518" s="55"/>
      <c r="G518" s="56"/>
      <c r="H518" s="57"/>
      <c r="I518" s="51"/>
      <c r="J518" s="51"/>
      <c r="K518" s="58"/>
      <c r="L518" s="59"/>
      <c r="M518" s="58"/>
      <c r="N518" s="58"/>
      <c r="O518" s="51"/>
      <c r="P518" s="51"/>
      <c r="Q518" s="37"/>
      <c r="R518" s="70"/>
      <c r="S518" s="70"/>
      <c r="T518" s="70"/>
      <c r="U518" s="71"/>
      <c r="V518" s="73"/>
      <c r="W518" s="75"/>
      <c r="X518" s="117"/>
      <c r="Y518" s="111"/>
      <c r="Z518" s="111"/>
      <c r="AH518" s="18"/>
      <c r="AI518" s="18"/>
      <c r="AJ518" s="18"/>
      <c r="AK518" s="18"/>
      <c r="AL518" s="18"/>
      <c r="AM518" s="18"/>
      <c r="AN518" s="18"/>
    </row>
    <row r="519" spans="1:40">
      <c r="A519" s="51"/>
      <c r="B519" s="51"/>
      <c r="C519" s="51"/>
      <c r="D519" s="51"/>
      <c r="E519" s="51"/>
      <c r="F519" s="55"/>
      <c r="G519" s="56"/>
      <c r="H519" s="57"/>
      <c r="I519" s="51"/>
      <c r="J519" s="51"/>
      <c r="K519" s="58"/>
      <c r="L519" s="59"/>
      <c r="M519" s="58"/>
      <c r="N519" s="58"/>
      <c r="O519" s="51"/>
      <c r="P519" s="51"/>
      <c r="Q519" s="37"/>
      <c r="R519" s="70"/>
      <c r="S519" s="70"/>
      <c r="T519" s="70"/>
      <c r="U519" s="71"/>
      <c r="V519" s="73"/>
      <c r="W519" s="75"/>
      <c r="X519" s="117"/>
      <c r="Y519" s="111"/>
      <c r="Z519" s="111"/>
      <c r="AH519" s="18"/>
      <c r="AI519" s="18"/>
      <c r="AJ519" s="18"/>
      <c r="AK519" s="18"/>
      <c r="AL519" s="18"/>
      <c r="AM519" s="18"/>
      <c r="AN519" s="18"/>
    </row>
    <row r="520" spans="1:40">
      <c r="A520" s="51"/>
      <c r="B520" s="51"/>
      <c r="C520" s="51"/>
      <c r="D520" s="51"/>
      <c r="E520" s="51"/>
      <c r="F520" s="55"/>
      <c r="G520" s="56"/>
      <c r="H520" s="57"/>
      <c r="I520" s="51"/>
      <c r="J520" s="51"/>
      <c r="K520" s="58"/>
      <c r="L520" s="59"/>
      <c r="M520" s="58"/>
      <c r="N520" s="58"/>
      <c r="O520" s="51"/>
      <c r="P520" s="51"/>
      <c r="Q520" s="37"/>
      <c r="R520" s="70"/>
      <c r="S520" s="70"/>
      <c r="T520" s="70"/>
      <c r="U520" s="71"/>
      <c r="V520" s="73"/>
      <c r="W520" s="75"/>
      <c r="X520" s="117"/>
      <c r="Y520" s="111"/>
      <c r="Z520" s="111"/>
      <c r="AH520" s="18"/>
      <c r="AI520" s="18"/>
      <c r="AJ520" s="18"/>
      <c r="AK520" s="18"/>
      <c r="AL520" s="18"/>
      <c r="AM520" s="18"/>
      <c r="AN520" s="18"/>
    </row>
    <row r="521" spans="1:40">
      <c r="A521" s="51"/>
      <c r="B521" s="51"/>
      <c r="C521" s="51"/>
      <c r="D521" s="51"/>
      <c r="E521" s="51"/>
      <c r="F521" s="55"/>
      <c r="G521" s="56"/>
      <c r="H521" s="57"/>
      <c r="I521" s="51"/>
      <c r="J521" s="51"/>
      <c r="K521" s="58"/>
      <c r="L521" s="59"/>
      <c r="M521" s="58"/>
      <c r="N521" s="58"/>
      <c r="O521" s="51"/>
      <c r="P521" s="51"/>
      <c r="Q521" s="37"/>
      <c r="R521" s="70"/>
      <c r="S521" s="70"/>
      <c r="T521" s="70"/>
      <c r="U521" s="71"/>
      <c r="V521" s="73"/>
      <c r="W521" s="75"/>
      <c r="X521" s="117"/>
      <c r="Y521" s="111"/>
      <c r="Z521" s="111"/>
      <c r="AH521" s="18"/>
      <c r="AI521" s="18"/>
      <c r="AJ521" s="18"/>
      <c r="AK521" s="18"/>
      <c r="AL521" s="18"/>
      <c r="AM521" s="18"/>
      <c r="AN521" s="18"/>
    </row>
    <row r="522" spans="1:40">
      <c r="A522" s="51"/>
      <c r="B522" s="51"/>
      <c r="C522" s="51"/>
      <c r="D522" s="51"/>
      <c r="E522" s="51"/>
      <c r="F522" s="55"/>
      <c r="G522" s="56"/>
      <c r="H522" s="57"/>
      <c r="I522" s="51"/>
      <c r="J522" s="51"/>
      <c r="K522" s="58"/>
      <c r="L522" s="59"/>
      <c r="M522" s="58"/>
      <c r="N522" s="58"/>
      <c r="O522" s="51"/>
      <c r="P522" s="51"/>
      <c r="Q522" s="37"/>
      <c r="R522" s="70"/>
      <c r="S522" s="70"/>
      <c r="T522" s="70"/>
      <c r="U522" s="71"/>
      <c r="V522" s="73"/>
      <c r="W522" s="75"/>
      <c r="X522" s="117"/>
      <c r="Y522" s="111"/>
      <c r="Z522" s="111"/>
      <c r="AH522" s="18"/>
      <c r="AI522" s="18"/>
      <c r="AJ522" s="18"/>
      <c r="AK522" s="18"/>
      <c r="AL522" s="18"/>
      <c r="AM522" s="18"/>
      <c r="AN522" s="18"/>
    </row>
    <row r="523" spans="1:40">
      <c r="A523" s="51"/>
      <c r="B523" s="51"/>
      <c r="C523" s="51"/>
      <c r="D523" s="51"/>
      <c r="E523" s="51"/>
      <c r="F523" s="55"/>
      <c r="G523" s="56"/>
      <c r="H523" s="57"/>
      <c r="I523" s="51"/>
      <c r="J523" s="51"/>
      <c r="K523" s="58"/>
      <c r="L523" s="59"/>
      <c r="M523" s="58"/>
      <c r="N523" s="58"/>
      <c r="O523" s="51"/>
      <c r="P523" s="51"/>
      <c r="Q523" s="37"/>
      <c r="R523" s="70"/>
      <c r="S523" s="70"/>
      <c r="T523" s="70"/>
      <c r="U523" s="71"/>
      <c r="V523" s="73"/>
      <c r="W523" s="75"/>
      <c r="X523" s="117"/>
      <c r="Y523" s="111"/>
      <c r="Z523" s="111"/>
      <c r="AH523" s="18"/>
      <c r="AI523" s="18"/>
      <c r="AJ523" s="18"/>
      <c r="AK523" s="18"/>
      <c r="AL523" s="18"/>
      <c r="AM523" s="18"/>
      <c r="AN523" s="18"/>
    </row>
    <row r="524" spans="1:40">
      <c r="A524" s="51"/>
      <c r="B524" s="51"/>
      <c r="C524" s="51"/>
      <c r="D524" s="51"/>
      <c r="E524" s="51"/>
      <c r="F524" s="55"/>
      <c r="G524" s="56"/>
      <c r="H524" s="57"/>
      <c r="I524" s="51"/>
      <c r="J524" s="51"/>
      <c r="K524" s="58"/>
      <c r="L524" s="59"/>
      <c r="M524" s="58"/>
      <c r="N524" s="58"/>
      <c r="O524" s="51"/>
      <c r="P524" s="51"/>
      <c r="Q524" s="37"/>
      <c r="R524" s="70"/>
      <c r="S524" s="70"/>
      <c r="T524" s="70"/>
      <c r="U524" s="71"/>
      <c r="V524" s="73"/>
      <c r="W524" s="75"/>
      <c r="X524" s="117"/>
      <c r="Y524" s="111"/>
      <c r="Z524" s="111"/>
      <c r="AH524" s="18"/>
      <c r="AI524" s="18"/>
      <c r="AJ524" s="18"/>
      <c r="AK524" s="18"/>
      <c r="AL524" s="18"/>
      <c r="AM524" s="18"/>
      <c r="AN524" s="18"/>
    </row>
    <row r="525" spans="1:40">
      <c r="A525" s="51"/>
      <c r="B525" s="51"/>
      <c r="C525" s="51"/>
      <c r="D525" s="51"/>
      <c r="E525" s="51"/>
      <c r="F525" s="55"/>
      <c r="G525" s="56"/>
      <c r="H525" s="57"/>
      <c r="I525" s="51"/>
      <c r="J525" s="51"/>
      <c r="K525" s="58"/>
      <c r="L525" s="59"/>
      <c r="M525" s="58"/>
      <c r="N525" s="58"/>
      <c r="O525" s="51"/>
      <c r="P525" s="51"/>
      <c r="Q525" s="37"/>
      <c r="R525" s="70"/>
      <c r="S525" s="70"/>
      <c r="T525" s="70"/>
      <c r="U525" s="71"/>
      <c r="V525" s="73"/>
      <c r="W525" s="75"/>
      <c r="X525" s="117"/>
      <c r="Y525" s="111"/>
      <c r="Z525" s="111"/>
      <c r="AH525" s="18"/>
      <c r="AI525" s="18"/>
      <c r="AJ525" s="18"/>
      <c r="AK525" s="18"/>
      <c r="AL525" s="18"/>
      <c r="AM525" s="18"/>
      <c r="AN525" s="18"/>
    </row>
    <row r="526" spans="1:40">
      <c r="A526" s="51"/>
      <c r="B526" s="51"/>
      <c r="C526" s="51"/>
      <c r="D526" s="51"/>
      <c r="E526" s="51"/>
      <c r="F526" s="55"/>
      <c r="G526" s="56"/>
      <c r="H526" s="57"/>
      <c r="I526" s="51"/>
      <c r="J526" s="51"/>
      <c r="K526" s="58"/>
      <c r="L526" s="59"/>
      <c r="M526" s="58"/>
      <c r="N526" s="58"/>
      <c r="O526" s="51"/>
      <c r="P526" s="51"/>
      <c r="Q526" s="37"/>
      <c r="R526" s="70"/>
      <c r="S526" s="70"/>
      <c r="T526" s="70"/>
      <c r="U526" s="71"/>
      <c r="V526" s="73"/>
      <c r="W526" s="75"/>
      <c r="X526" s="117"/>
      <c r="Y526" s="111"/>
      <c r="Z526" s="111"/>
      <c r="AH526" s="18"/>
      <c r="AI526" s="18"/>
      <c r="AJ526" s="18"/>
      <c r="AK526" s="18"/>
      <c r="AL526" s="18"/>
      <c r="AM526" s="18"/>
      <c r="AN526" s="18"/>
    </row>
    <row r="527" spans="1:40">
      <c r="A527" s="51"/>
      <c r="B527" s="51"/>
      <c r="C527" s="51"/>
      <c r="D527" s="51"/>
      <c r="E527" s="51"/>
      <c r="F527" s="55"/>
      <c r="G527" s="56"/>
      <c r="H527" s="57"/>
      <c r="I527" s="51"/>
      <c r="J527" s="51"/>
      <c r="K527" s="58"/>
      <c r="L527" s="59"/>
      <c r="M527" s="58"/>
      <c r="N527" s="58"/>
      <c r="O527" s="51"/>
      <c r="P527" s="51"/>
      <c r="Q527" s="37"/>
      <c r="R527" s="70"/>
      <c r="S527" s="70"/>
      <c r="T527" s="70"/>
      <c r="U527" s="71"/>
      <c r="V527" s="73"/>
      <c r="W527" s="75"/>
      <c r="X527" s="117"/>
      <c r="Y527" s="111"/>
      <c r="Z527" s="111"/>
      <c r="AH527" s="18"/>
      <c r="AI527" s="18"/>
      <c r="AJ527" s="18"/>
      <c r="AK527" s="18"/>
      <c r="AL527" s="18"/>
      <c r="AM527" s="18"/>
      <c r="AN527" s="18"/>
    </row>
    <row r="528" spans="1:40">
      <c r="A528" s="51"/>
      <c r="B528" s="51"/>
      <c r="C528" s="51"/>
      <c r="D528" s="51"/>
      <c r="E528" s="51"/>
      <c r="F528" s="55"/>
      <c r="G528" s="56"/>
      <c r="H528" s="57"/>
      <c r="I528" s="51"/>
      <c r="J528" s="51"/>
      <c r="K528" s="58"/>
      <c r="L528" s="59"/>
      <c r="M528" s="58"/>
      <c r="N528" s="58"/>
      <c r="O528" s="51"/>
      <c r="P528" s="51"/>
      <c r="Q528" s="37"/>
      <c r="R528" s="70"/>
      <c r="S528" s="70"/>
      <c r="T528" s="70"/>
      <c r="U528" s="71"/>
      <c r="V528" s="73"/>
      <c r="W528" s="75"/>
      <c r="X528" s="117"/>
      <c r="Y528" s="111"/>
      <c r="Z528" s="111"/>
      <c r="AH528" s="18"/>
      <c r="AI528" s="18"/>
      <c r="AJ528" s="18"/>
      <c r="AK528" s="18"/>
      <c r="AL528" s="18"/>
      <c r="AM528" s="18"/>
      <c r="AN528" s="18"/>
    </row>
    <row r="529" spans="1:40">
      <c r="A529" s="51"/>
      <c r="B529" s="51"/>
      <c r="C529" s="51"/>
      <c r="D529" s="51"/>
      <c r="E529" s="51"/>
      <c r="F529" s="55"/>
      <c r="G529" s="56"/>
      <c r="H529" s="57"/>
      <c r="I529" s="51"/>
      <c r="J529" s="51"/>
      <c r="K529" s="58"/>
      <c r="L529" s="59"/>
      <c r="M529" s="58"/>
      <c r="N529" s="58"/>
      <c r="O529" s="51"/>
      <c r="P529" s="51"/>
      <c r="Q529" s="37"/>
      <c r="R529" s="70"/>
      <c r="S529" s="70"/>
      <c r="T529" s="70"/>
      <c r="U529" s="71"/>
      <c r="V529" s="73"/>
      <c r="W529" s="75"/>
      <c r="X529" s="117"/>
      <c r="Y529" s="111"/>
      <c r="Z529" s="111"/>
      <c r="AH529" s="18"/>
      <c r="AI529" s="18"/>
      <c r="AJ529" s="18"/>
      <c r="AK529" s="18"/>
      <c r="AL529" s="18"/>
      <c r="AM529" s="18"/>
      <c r="AN529" s="18"/>
    </row>
    <row r="530" spans="1:40">
      <c r="A530" s="51"/>
      <c r="B530" s="51"/>
      <c r="C530" s="51"/>
      <c r="D530" s="51"/>
      <c r="E530" s="51"/>
      <c r="F530" s="55"/>
      <c r="G530" s="56"/>
      <c r="H530" s="57"/>
      <c r="I530" s="51"/>
      <c r="J530" s="51"/>
      <c r="K530" s="58"/>
      <c r="L530" s="59"/>
      <c r="M530" s="58"/>
      <c r="N530" s="58"/>
      <c r="O530" s="51"/>
      <c r="P530" s="51"/>
      <c r="Q530" s="37"/>
      <c r="R530" s="70"/>
      <c r="S530" s="70"/>
      <c r="T530" s="70"/>
      <c r="U530" s="71"/>
      <c r="V530" s="73"/>
      <c r="W530" s="75"/>
      <c r="X530" s="117"/>
      <c r="Y530" s="111"/>
      <c r="Z530" s="111"/>
      <c r="AH530" s="18"/>
      <c r="AI530" s="18"/>
      <c r="AJ530" s="18"/>
      <c r="AK530" s="18"/>
      <c r="AL530" s="18"/>
      <c r="AM530" s="18"/>
      <c r="AN530" s="18"/>
    </row>
    <row r="531" spans="1:40">
      <c r="A531" s="51"/>
      <c r="B531" s="51"/>
      <c r="C531" s="51"/>
      <c r="D531" s="51"/>
      <c r="E531" s="51"/>
      <c r="F531" s="55"/>
      <c r="G531" s="56"/>
      <c r="H531" s="57"/>
      <c r="I531" s="51"/>
      <c r="J531" s="51"/>
      <c r="K531" s="58"/>
      <c r="L531" s="59"/>
      <c r="M531" s="58"/>
      <c r="N531" s="58"/>
      <c r="O531" s="51"/>
      <c r="P531" s="51"/>
      <c r="Q531" s="37"/>
      <c r="R531" s="70"/>
      <c r="S531" s="70"/>
      <c r="T531" s="70"/>
      <c r="U531" s="71"/>
      <c r="V531" s="73"/>
      <c r="W531" s="75"/>
      <c r="X531" s="117"/>
      <c r="Y531" s="111"/>
      <c r="Z531" s="111"/>
      <c r="AH531" s="18"/>
      <c r="AI531" s="18"/>
      <c r="AJ531" s="18"/>
      <c r="AK531" s="18"/>
      <c r="AL531" s="18"/>
      <c r="AM531" s="18"/>
      <c r="AN531" s="18"/>
    </row>
    <row r="532" spans="1:40">
      <c r="A532" s="51"/>
      <c r="B532" s="51"/>
      <c r="C532" s="51"/>
      <c r="D532" s="51"/>
      <c r="E532" s="51"/>
      <c r="F532" s="55"/>
      <c r="G532" s="56"/>
      <c r="H532" s="57"/>
      <c r="I532" s="51"/>
      <c r="J532" s="51"/>
      <c r="K532" s="58"/>
      <c r="L532" s="59"/>
      <c r="M532" s="58"/>
      <c r="N532" s="58"/>
      <c r="O532" s="51"/>
      <c r="P532" s="51"/>
      <c r="Q532" s="37"/>
      <c r="R532" s="70"/>
      <c r="S532" s="70"/>
      <c r="T532" s="70"/>
      <c r="U532" s="71"/>
      <c r="V532" s="73"/>
      <c r="W532" s="75"/>
      <c r="X532" s="117"/>
      <c r="Y532" s="111"/>
      <c r="Z532" s="111"/>
      <c r="AH532" s="18"/>
      <c r="AI532" s="18"/>
      <c r="AJ532" s="18"/>
      <c r="AK532" s="18"/>
      <c r="AL532" s="18"/>
      <c r="AM532" s="18"/>
      <c r="AN532" s="18"/>
    </row>
    <row r="533" spans="1:40">
      <c r="A533" s="51"/>
      <c r="B533" s="51"/>
      <c r="C533" s="51"/>
      <c r="D533" s="51"/>
      <c r="E533" s="51"/>
      <c r="F533" s="55"/>
      <c r="G533" s="56"/>
      <c r="H533" s="57"/>
      <c r="I533" s="51"/>
      <c r="J533" s="51"/>
      <c r="K533" s="58"/>
      <c r="L533" s="59"/>
      <c r="M533" s="58"/>
      <c r="N533" s="58"/>
      <c r="O533" s="51"/>
      <c r="P533" s="51"/>
      <c r="Q533" s="37"/>
      <c r="R533" s="70"/>
      <c r="S533" s="70"/>
      <c r="T533" s="70"/>
      <c r="U533" s="71"/>
      <c r="V533" s="73"/>
      <c r="W533" s="75"/>
      <c r="X533" s="117"/>
      <c r="Y533" s="111"/>
      <c r="Z533" s="111"/>
      <c r="AH533" s="18"/>
      <c r="AI533" s="18"/>
      <c r="AJ533" s="18"/>
      <c r="AK533" s="18"/>
      <c r="AL533" s="18"/>
      <c r="AM533" s="18"/>
      <c r="AN533" s="18"/>
    </row>
    <row r="534" spans="1:40">
      <c r="A534" s="51"/>
      <c r="B534" s="51"/>
      <c r="C534" s="51"/>
      <c r="D534" s="51"/>
      <c r="E534" s="51"/>
      <c r="F534" s="55"/>
      <c r="G534" s="56"/>
      <c r="H534" s="57"/>
      <c r="I534" s="51"/>
      <c r="J534" s="51"/>
      <c r="K534" s="58"/>
      <c r="L534" s="59"/>
      <c r="M534" s="58"/>
      <c r="N534" s="58"/>
      <c r="O534" s="51"/>
      <c r="P534" s="51"/>
      <c r="Q534" s="37"/>
      <c r="R534" s="70"/>
      <c r="S534" s="70"/>
      <c r="T534" s="70"/>
      <c r="U534" s="71"/>
      <c r="V534" s="73"/>
      <c r="W534" s="75"/>
      <c r="X534" s="117"/>
      <c r="Y534" s="111"/>
      <c r="Z534" s="111"/>
      <c r="AH534" s="18"/>
      <c r="AI534" s="18"/>
      <c r="AJ534" s="18"/>
      <c r="AK534" s="18"/>
      <c r="AL534" s="18"/>
      <c r="AM534" s="18"/>
      <c r="AN534" s="18"/>
    </row>
    <row r="535" spans="1:40">
      <c r="A535" s="51"/>
      <c r="B535" s="51"/>
      <c r="C535" s="51"/>
      <c r="D535" s="51"/>
      <c r="E535" s="51"/>
      <c r="F535" s="55"/>
      <c r="G535" s="56"/>
      <c r="H535" s="57"/>
      <c r="I535" s="51"/>
      <c r="J535" s="51"/>
      <c r="K535" s="58"/>
      <c r="L535" s="59"/>
      <c r="M535" s="58"/>
      <c r="N535" s="58"/>
      <c r="O535" s="51"/>
      <c r="P535" s="51"/>
      <c r="Q535" s="37"/>
      <c r="R535" s="70"/>
      <c r="S535" s="70"/>
      <c r="T535" s="70"/>
      <c r="U535" s="71"/>
      <c r="V535" s="73"/>
      <c r="W535" s="75"/>
      <c r="X535" s="117"/>
      <c r="Y535" s="111"/>
      <c r="Z535" s="111"/>
      <c r="AH535" s="18"/>
      <c r="AI535" s="18"/>
      <c r="AJ535" s="18"/>
      <c r="AK535" s="18"/>
      <c r="AL535" s="18"/>
      <c r="AM535" s="18"/>
      <c r="AN535" s="18"/>
    </row>
    <row r="536" spans="1:40">
      <c r="A536" s="51"/>
      <c r="B536" s="51"/>
      <c r="C536" s="51"/>
      <c r="D536" s="51"/>
      <c r="E536" s="51"/>
      <c r="F536" s="55"/>
      <c r="G536" s="56"/>
      <c r="H536" s="57"/>
      <c r="I536" s="51"/>
      <c r="J536" s="51"/>
      <c r="K536" s="58"/>
      <c r="L536" s="59"/>
      <c r="M536" s="58"/>
      <c r="N536" s="58"/>
      <c r="O536" s="51"/>
      <c r="P536" s="51"/>
      <c r="Q536" s="37"/>
      <c r="R536" s="70"/>
      <c r="S536" s="70"/>
      <c r="T536" s="70"/>
      <c r="U536" s="71"/>
      <c r="V536" s="73"/>
      <c r="W536" s="75"/>
      <c r="X536" s="117"/>
      <c r="Y536" s="111"/>
      <c r="Z536" s="111"/>
      <c r="AH536" s="18"/>
      <c r="AI536" s="18"/>
      <c r="AJ536" s="18"/>
      <c r="AK536" s="18"/>
      <c r="AL536" s="18"/>
      <c r="AM536" s="18"/>
      <c r="AN536" s="18"/>
    </row>
    <row r="537" spans="1:40">
      <c r="A537" s="51"/>
      <c r="B537" s="51"/>
      <c r="C537" s="51"/>
      <c r="D537" s="51"/>
      <c r="E537" s="51"/>
      <c r="F537" s="55"/>
      <c r="G537" s="56"/>
      <c r="H537" s="57"/>
      <c r="I537" s="51"/>
      <c r="J537" s="51"/>
      <c r="K537" s="58"/>
      <c r="L537" s="59"/>
      <c r="M537" s="58"/>
      <c r="N537" s="58"/>
      <c r="O537" s="51"/>
      <c r="P537" s="51"/>
      <c r="Q537" s="37"/>
      <c r="R537" s="70"/>
      <c r="S537" s="70"/>
      <c r="T537" s="70"/>
      <c r="U537" s="71"/>
      <c r="V537" s="73"/>
      <c r="W537" s="75"/>
      <c r="X537" s="117"/>
      <c r="Y537" s="111"/>
      <c r="Z537" s="111"/>
      <c r="AH537" s="18"/>
      <c r="AI537" s="18"/>
      <c r="AJ537" s="18"/>
      <c r="AK537" s="18"/>
      <c r="AL537" s="18"/>
      <c r="AM537" s="18"/>
      <c r="AN537" s="18"/>
    </row>
    <row r="538" spans="1:40">
      <c r="A538" s="51"/>
      <c r="B538" s="51"/>
      <c r="C538" s="51"/>
      <c r="D538" s="51"/>
      <c r="E538" s="51"/>
      <c r="F538" s="55"/>
      <c r="G538" s="56"/>
      <c r="H538" s="57"/>
      <c r="I538" s="51"/>
      <c r="J538" s="51"/>
      <c r="K538" s="58"/>
      <c r="L538" s="59"/>
      <c r="M538" s="58"/>
      <c r="N538" s="58"/>
      <c r="O538" s="51"/>
      <c r="P538" s="51"/>
      <c r="Q538" s="37"/>
      <c r="R538" s="70"/>
      <c r="S538" s="70"/>
      <c r="T538" s="70"/>
      <c r="U538" s="71"/>
      <c r="V538" s="73"/>
      <c r="W538" s="75"/>
      <c r="X538" s="117"/>
      <c r="Y538" s="111"/>
      <c r="Z538" s="111"/>
      <c r="AH538" s="18"/>
      <c r="AI538" s="18"/>
      <c r="AJ538" s="18"/>
      <c r="AK538" s="18"/>
      <c r="AL538" s="18"/>
      <c r="AM538" s="18"/>
      <c r="AN538" s="18"/>
    </row>
    <row r="539" spans="1:40">
      <c r="A539" s="51"/>
      <c r="B539" s="51"/>
      <c r="C539" s="51"/>
      <c r="D539" s="51"/>
      <c r="E539" s="51"/>
      <c r="F539" s="55"/>
      <c r="G539" s="56"/>
      <c r="H539" s="57"/>
      <c r="I539" s="51"/>
      <c r="J539" s="51"/>
      <c r="K539" s="58"/>
      <c r="L539" s="59"/>
      <c r="M539" s="58"/>
      <c r="N539" s="58"/>
      <c r="O539" s="51"/>
      <c r="P539" s="51"/>
      <c r="Q539" s="37"/>
      <c r="R539" s="70"/>
      <c r="S539" s="70"/>
      <c r="T539" s="70"/>
      <c r="U539" s="71"/>
      <c r="V539" s="73"/>
      <c r="W539" s="75"/>
      <c r="X539" s="117"/>
      <c r="Y539" s="111"/>
      <c r="Z539" s="111"/>
      <c r="AH539" s="18"/>
      <c r="AI539" s="18"/>
      <c r="AJ539" s="18"/>
      <c r="AK539" s="18"/>
      <c r="AL539" s="18"/>
      <c r="AM539" s="18"/>
      <c r="AN539" s="18"/>
    </row>
    <row r="540" spans="1:40">
      <c r="A540" s="51"/>
      <c r="B540" s="51"/>
      <c r="C540" s="51"/>
      <c r="D540" s="51"/>
      <c r="E540" s="51"/>
      <c r="F540" s="55"/>
      <c r="G540" s="56"/>
      <c r="H540" s="57"/>
      <c r="I540" s="51"/>
      <c r="J540" s="51"/>
      <c r="K540" s="58"/>
      <c r="L540" s="59"/>
      <c r="M540" s="58"/>
      <c r="N540" s="58"/>
      <c r="O540" s="51"/>
      <c r="P540" s="51"/>
      <c r="Q540" s="37"/>
      <c r="R540" s="70"/>
      <c r="S540" s="70"/>
      <c r="T540" s="70"/>
      <c r="U540" s="71"/>
      <c r="V540" s="73"/>
      <c r="W540" s="75"/>
      <c r="X540" s="117"/>
      <c r="Y540" s="111"/>
      <c r="Z540" s="111"/>
      <c r="AH540" s="18"/>
      <c r="AI540" s="18"/>
      <c r="AJ540" s="18"/>
      <c r="AK540" s="18"/>
      <c r="AL540" s="18"/>
      <c r="AM540" s="18"/>
      <c r="AN540" s="18"/>
    </row>
    <row r="541" spans="1:40">
      <c r="A541" s="51"/>
      <c r="B541" s="51"/>
      <c r="C541" s="51"/>
      <c r="D541" s="51"/>
      <c r="E541" s="51"/>
      <c r="F541" s="55"/>
      <c r="G541" s="56"/>
      <c r="H541" s="57"/>
      <c r="I541" s="51"/>
      <c r="J541" s="51"/>
      <c r="K541" s="58"/>
      <c r="L541" s="59"/>
      <c r="M541" s="58"/>
      <c r="N541" s="58"/>
      <c r="O541" s="51"/>
      <c r="P541" s="51"/>
      <c r="Q541" s="37"/>
      <c r="R541" s="70"/>
      <c r="S541" s="70"/>
      <c r="T541" s="70"/>
      <c r="U541" s="71"/>
      <c r="V541" s="73"/>
      <c r="W541" s="75"/>
      <c r="X541" s="117"/>
      <c r="Y541" s="111"/>
      <c r="Z541" s="111"/>
      <c r="AH541" s="18"/>
      <c r="AI541" s="18"/>
      <c r="AJ541" s="18"/>
      <c r="AK541" s="18"/>
      <c r="AL541" s="18"/>
      <c r="AM541" s="18"/>
      <c r="AN541" s="18"/>
    </row>
    <row r="542" spans="1:40">
      <c r="A542" s="51"/>
      <c r="B542" s="51"/>
      <c r="C542" s="51"/>
      <c r="D542" s="51"/>
      <c r="E542" s="51"/>
      <c r="F542" s="55"/>
      <c r="G542" s="56"/>
      <c r="H542" s="57"/>
      <c r="I542" s="51"/>
      <c r="J542" s="51"/>
      <c r="K542" s="58"/>
      <c r="L542" s="59"/>
      <c r="M542" s="58"/>
      <c r="N542" s="58"/>
      <c r="O542" s="51"/>
      <c r="P542" s="51"/>
      <c r="Q542" s="37"/>
      <c r="R542" s="70"/>
      <c r="S542" s="70"/>
      <c r="T542" s="70"/>
      <c r="U542" s="71"/>
      <c r="V542" s="73"/>
      <c r="W542" s="75"/>
      <c r="X542" s="117"/>
      <c r="Y542" s="111"/>
      <c r="Z542" s="111"/>
      <c r="AH542" s="18"/>
      <c r="AI542" s="18"/>
      <c r="AJ542" s="18"/>
      <c r="AK542" s="18"/>
      <c r="AL542" s="18"/>
      <c r="AM542" s="18"/>
      <c r="AN542" s="18"/>
    </row>
    <row r="543" spans="1:40">
      <c r="A543" s="51"/>
      <c r="B543" s="51"/>
      <c r="C543" s="51"/>
      <c r="D543" s="51"/>
      <c r="E543" s="51"/>
      <c r="F543" s="55"/>
      <c r="G543" s="56"/>
      <c r="H543" s="57"/>
      <c r="I543" s="51"/>
      <c r="J543" s="51"/>
      <c r="K543" s="58"/>
      <c r="L543" s="59"/>
      <c r="M543" s="58"/>
      <c r="N543" s="58"/>
      <c r="O543" s="51"/>
      <c r="P543" s="51"/>
      <c r="Q543" s="37"/>
      <c r="R543" s="70"/>
      <c r="S543" s="70"/>
      <c r="T543" s="70"/>
      <c r="U543" s="71"/>
      <c r="V543" s="73"/>
      <c r="W543" s="75"/>
      <c r="X543" s="117"/>
      <c r="Y543" s="111"/>
      <c r="Z543" s="111"/>
      <c r="AH543" s="18"/>
      <c r="AI543" s="18"/>
      <c r="AJ543" s="18"/>
      <c r="AK543" s="18"/>
      <c r="AL543" s="18"/>
      <c r="AM543" s="18"/>
      <c r="AN543" s="18"/>
    </row>
    <row r="544" spans="1:40">
      <c r="A544" s="51"/>
      <c r="B544" s="51"/>
      <c r="C544" s="51"/>
      <c r="D544" s="51"/>
      <c r="E544" s="51"/>
      <c r="F544" s="55"/>
      <c r="G544" s="56"/>
      <c r="H544" s="57"/>
      <c r="I544" s="51"/>
      <c r="J544" s="51"/>
      <c r="K544" s="58"/>
      <c r="L544" s="59"/>
      <c r="M544" s="58"/>
      <c r="N544" s="58"/>
      <c r="O544" s="51"/>
      <c r="P544" s="51"/>
      <c r="Q544" s="37"/>
      <c r="R544" s="70"/>
      <c r="S544" s="70"/>
      <c r="T544" s="70"/>
      <c r="U544" s="71"/>
      <c r="V544" s="73"/>
      <c r="W544" s="75"/>
      <c r="X544" s="117"/>
      <c r="Y544" s="111"/>
      <c r="Z544" s="111"/>
      <c r="AH544" s="18"/>
      <c r="AI544" s="18"/>
      <c r="AJ544" s="18"/>
      <c r="AK544" s="18"/>
      <c r="AL544" s="18"/>
      <c r="AM544" s="18"/>
      <c r="AN544" s="18"/>
    </row>
    <row r="545" spans="1:40">
      <c r="A545" s="51"/>
      <c r="B545" s="51"/>
      <c r="C545" s="51"/>
      <c r="D545" s="51"/>
      <c r="E545" s="51"/>
      <c r="F545" s="55"/>
      <c r="G545" s="56"/>
      <c r="H545" s="57"/>
      <c r="I545" s="51"/>
      <c r="J545" s="51"/>
      <c r="K545" s="58"/>
      <c r="L545" s="59"/>
      <c r="M545" s="58"/>
      <c r="N545" s="58"/>
      <c r="O545" s="51"/>
      <c r="P545" s="51"/>
      <c r="Q545" s="37"/>
      <c r="R545" s="70"/>
      <c r="S545" s="70"/>
      <c r="T545" s="70"/>
      <c r="U545" s="71"/>
      <c r="V545" s="73"/>
      <c r="W545" s="75"/>
      <c r="X545" s="117"/>
      <c r="Y545" s="111"/>
      <c r="Z545" s="111"/>
      <c r="AH545" s="18"/>
      <c r="AI545" s="18"/>
      <c r="AJ545" s="18"/>
      <c r="AK545" s="18"/>
      <c r="AL545" s="18"/>
      <c r="AM545" s="18"/>
      <c r="AN545" s="18"/>
    </row>
    <row r="546" spans="1:40">
      <c r="A546" s="51"/>
      <c r="B546" s="51"/>
      <c r="C546" s="51"/>
      <c r="D546" s="51"/>
      <c r="E546" s="51"/>
      <c r="F546" s="55"/>
      <c r="G546" s="56"/>
      <c r="H546" s="57"/>
      <c r="I546" s="51"/>
      <c r="J546" s="51"/>
      <c r="K546" s="58"/>
      <c r="L546" s="59"/>
      <c r="M546" s="58"/>
      <c r="N546" s="58"/>
      <c r="O546" s="51"/>
      <c r="P546" s="51"/>
      <c r="Q546" s="37"/>
      <c r="R546" s="70"/>
      <c r="S546" s="70"/>
      <c r="T546" s="70"/>
      <c r="U546" s="71"/>
      <c r="V546" s="73"/>
      <c r="W546" s="75"/>
      <c r="X546" s="117"/>
      <c r="Y546" s="111"/>
      <c r="Z546" s="111"/>
      <c r="AH546" s="18"/>
      <c r="AI546" s="18"/>
      <c r="AJ546" s="18"/>
      <c r="AK546" s="18"/>
      <c r="AL546" s="18"/>
      <c r="AM546" s="18"/>
      <c r="AN546" s="18"/>
    </row>
    <row r="547" spans="1:40">
      <c r="A547" s="51"/>
      <c r="B547" s="51"/>
      <c r="C547" s="51"/>
      <c r="D547" s="51"/>
      <c r="E547" s="51"/>
      <c r="F547" s="55"/>
      <c r="G547" s="56"/>
      <c r="H547" s="57"/>
      <c r="I547" s="51"/>
      <c r="J547" s="51"/>
      <c r="K547" s="58"/>
      <c r="L547" s="59"/>
      <c r="M547" s="58"/>
      <c r="N547" s="58"/>
      <c r="O547" s="51"/>
      <c r="P547" s="51"/>
      <c r="Q547" s="37"/>
      <c r="R547" s="70"/>
      <c r="S547" s="70"/>
      <c r="T547" s="70"/>
      <c r="U547" s="71"/>
      <c r="V547" s="73"/>
      <c r="W547" s="75"/>
      <c r="X547" s="117"/>
      <c r="Y547" s="111"/>
      <c r="Z547" s="111"/>
      <c r="AH547" s="18"/>
      <c r="AI547" s="18"/>
      <c r="AJ547" s="18"/>
      <c r="AK547" s="18"/>
      <c r="AL547" s="18"/>
      <c r="AM547" s="18"/>
      <c r="AN547" s="18"/>
    </row>
    <row r="548" spans="1:40">
      <c r="A548" s="51"/>
      <c r="B548" s="51"/>
      <c r="C548" s="51"/>
      <c r="D548" s="51"/>
      <c r="E548" s="51"/>
      <c r="F548" s="55"/>
      <c r="G548" s="56"/>
      <c r="H548" s="57"/>
      <c r="I548" s="51"/>
      <c r="J548" s="51"/>
      <c r="K548" s="58"/>
      <c r="L548" s="59"/>
      <c r="M548" s="58"/>
      <c r="N548" s="58"/>
      <c r="O548" s="51"/>
      <c r="P548" s="51"/>
      <c r="Q548" s="37"/>
      <c r="R548" s="70"/>
      <c r="S548" s="70"/>
      <c r="T548" s="70"/>
      <c r="U548" s="71"/>
      <c r="V548" s="73"/>
      <c r="W548" s="75"/>
      <c r="X548" s="117"/>
      <c r="Y548" s="111"/>
      <c r="Z548" s="111"/>
      <c r="AH548" s="18"/>
      <c r="AI548" s="18"/>
      <c r="AJ548" s="18"/>
      <c r="AK548" s="18"/>
      <c r="AL548" s="18"/>
      <c r="AM548" s="18"/>
      <c r="AN548" s="18"/>
    </row>
    <row r="549" spans="1:40">
      <c r="A549" s="51"/>
      <c r="B549" s="51"/>
      <c r="C549" s="51"/>
      <c r="D549" s="51"/>
      <c r="E549" s="51"/>
      <c r="F549" s="55"/>
      <c r="G549" s="56"/>
      <c r="H549" s="57"/>
      <c r="I549" s="51"/>
      <c r="J549" s="51"/>
      <c r="K549" s="58"/>
      <c r="L549" s="59"/>
      <c r="M549" s="58"/>
      <c r="N549" s="58"/>
      <c r="O549" s="51"/>
      <c r="P549" s="51"/>
      <c r="Q549" s="37"/>
      <c r="R549" s="70"/>
      <c r="S549" s="70"/>
      <c r="T549" s="70"/>
      <c r="U549" s="71"/>
      <c r="V549" s="73"/>
      <c r="W549" s="75"/>
      <c r="X549" s="117"/>
      <c r="Y549" s="111"/>
      <c r="Z549" s="111"/>
      <c r="AH549" s="18"/>
      <c r="AI549" s="18"/>
      <c r="AJ549" s="18"/>
      <c r="AK549" s="18"/>
      <c r="AL549" s="18"/>
      <c r="AM549" s="18"/>
      <c r="AN549" s="18"/>
    </row>
    <row r="550" spans="1:40">
      <c r="A550" s="51"/>
      <c r="B550" s="51"/>
      <c r="C550" s="51"/>
      <c r="D550" s="51"/>
      <c r="E550" s="51"/>
      <c r="F550" s="55"/>
      <c r="G550" s="56"/>
      <c r="H550" s="57"/>
      <c r="I550" s="51"/>
      <c r="J550" s="51"/>
      <c r="K550" s="58"/>
      <c r="L550" s="59"/>
      <c r="M550" s="58"/>
      <c r="N550" s="58"/>
      <c r="O550" s="51"/>
      <c r="P550" s="51"/>
      <c r="Q550" s="37"/>
      <c r="R550" s="70"/>
      <c r="S550" s="70"/>
      <c r="T550" s="70"/>
      <c r="U550" s="71"/>
      <c r="V550" s="73"/>
      <c r="W550" s="75"/>
      <c r="X550" s="117"/>
      <c r="Y550" s="111"/>
      <c r="Z550" s="111"/>
      <c r="AH550" s="18"/>
      <c r="AI550" s="18"/>
      <c r="AJ550" s="18"/>
      <c r="AK550" s="18"/>
      <c r="AL550" s="18"/>
      <c r="AM550" s="18"/>
      <c r="AN550" s="18"/>
    </row>
    <row r="551" spans="1:40">
      <c r="A551" s="51"/>
      <c r="B551" s="51"/>
      <c r="C551" s="51"/>
      <c r="D551" s="51"/>
      <c r="E551" s="51"/>
      <c r="F551" s="55"/>
      <c r="G551" s="56"/>
      <c r="H551" s="57"/>
      <c r="I551" s="51"/>
      <c r="J551" s="51"/>
      <c r="K551" s="58"/>
      <c r="L551" s="59"/>
      <c r="M551" s="58"/>
      <c r="N551" s="58"/>
      <c r="O551" s="51"/>
      <c r="P551" s="51"/>
      <c r="Q551" s="37"/>
      <c r="R551" s="70"/>
      <c r="S551" s="70"/>
      <c r="T551" s="70"/>
      <c r="U551" s="71"/>
      <c r="V551" s="73"/>
      <c r="W551" s="75"/>
      <c r="X551" s="117"/>
      <c r="Y551" s="111"/>
      <c r="Z551" s="111"/>
      <c r="AH551" s="18"/>
      <c r="AI551" s="18"/>
      <c r="AJ551" s="18"/>
      <c r="AK551" s="18"/>
      <c r="AL551" s="18"/>
      <c r="AM551" s="18"/>
      <c r="AN551" s="18"/>
    </row>
    <row r="552" spans="1:40">
      <c r="A552" s="51"/>
      <c r="B552" s="51"/>
      <c r="C552" s="51"/>
      <c r="D552" s="51"/>
      <c r="E552" s="51"/>
      <c r="F552" s="55"/>
      <c r="G552" s="56"/>
      <c r="H552" s="57"/>
      <c r="I552" s="51"/>
      <c r="J552" s="51"/>
      <c r="K552" s="58"/>
      <c r="L552" s="59"/>
      <c r="M552" s="58"/>
      <c r="N552" s="58"/>
      <c r="O552" s="51"/>
      <c r="P552" s="51"/>
      <c r="Q552" s="37"/>
      <c r="R552" s="70"/>
      <c r="S552" s="70"/>
      <c r="T552" s="70"/>
      <c r="U552" s="71"/>
      <c r="V552" s="73"/>
      <c r="W552" s="75"/>
      <c r="X552" s="117"/>
      <c r="Y552" s="111"/>
      <c r="Z552" s="111"/>
      <c r="AH552" s="18"/>
      <c r="AI552" s="18"/>
      <c r="AJ552" s="18"/>
      <c r="AK552" s="18"/>
      <c r="AL552" s="18"/>
      <c r="AM552" s="18"/>
      <c r="AN552" s="18"/>
    </row>
    <row r="553" spans="1:40">
      <c r="A553" s="51"/>
      <c r="B553" s="51"/>
      <c r="C553" s="51"/>
      <c r="D553" s="51"/>
      <c r="E553" s="51"/>
      <c r="F553" s="55"/>
      <c r="G553" s="56"/>
      <c r="H553" s="57"/>
      <c r="I553" s="51"/>
      <c r="J553" s="51"/>
      <c r="K553" s="58"/>
      <c r="L553" s="59"/>
      <c r="M553" s="58"/>
      <c r="N553" s="58"/>
      <c r="O553" s="51"/>
      <c r="P553" s="51"/>
      <c r="Q553" s="37"/>
      <c r="R553" s="70"/>
      <c r="S553" s="70"/>
      <c r="T553" s="70"/>
      <c r="U553" s="71"/>
      <c r="V553" s="73"/>
      <c r="W553" s="75"/>
      <c r="X553" s="117"/>
      <c r="Y553" s="111"/>
      <c r="Z553" s="111"/>
      <c r="AH553" s="18"/>
      <c r="AI553" s="18"/>
      <c r="AJ553" s="18"/>
      <c r="AK553" s="18"/>
      <c r="AL553" s="18"/>
      <c r="AM553" s="18"/>
      <c r="AN553" s="18"/>
    </row>
    <row r="554" spans="1:40">
      <c r="A554" s="51"/>
      <c r="B554" s="51"/>
      <c r="C554" s="51"/>
      <c r="D554" s="51"/>
      <c r="E554" s="51"/>
      <c r="F554" s="55"/>
      <c r="G554" s="56"/>
      <c r="H554" s="57"/>
      <c r="I554" s="51"/>
      <c r="J554" s="51"/>
      <c r="K554" s="58"/>
      <c r="L554" s="59"/>
      <c r="M554" s="58"/>
      <c r="N554" s="58"/>
      <c r="O554" s="51"/>
      <c r="P554" s="51"/>
      <c r="Q554" s="37"/>
      <c r="R554" s="70"/>
      <c r="S554" s="70"/>
      <c r="T554" s="70"/>
      <c r="U554" s="71"/>
      <c r="V554" s="73"/>
      <c r="W554" s="75"/>
      <c r="X554" s="117"/>
      <c r="Y554" s="111"/>
      <c r="Z554" s="111"/>
      <c r="AH554" s="18"/>
      <c r="AI554" s="18"/>
      <c r="AJ554" s="18"/>
      <c r="AK554" s="18"/>
      <c r="AL554" s="18"/>
      <c r="AM554" s="18"/>
      <c r="AN554" s="18"/>
    </row>
    <row r="555" spans="1:40">
      <c r="A555" s="51"/>
      <c r="B555" s="51"/>
      <c r="C555" s="51"/>
      <c r="D555" s="51"/>
      <c r="E555" s="51"/>
      <c r="F555" s="55"/>
      <c r="G555" s="56"/>
      <c r="H555" s="57"/>
      <c r="I555" s="51"/>
      <c r="J555" s="51"/>
      <c r="K555" s="58"/>
      <c r="L555" s="59"/>
      <c r="M555" s="58"/>
      <c r="N555" s="58"/>
      <c r="O555" s="51"/>
      <c r="P555" s="51"/>
      <c r="Q555" s="37"/>
      <c r="R555" s="70"/>
      <c r="S555" s="70"/>
      <c r="T555" s="70"/>
      <c r="U555" s="71"/>
      <c r="V555" s="73"/>
      <c r="W555" s="75"/>
      <c r="X555" s="117"/>
      <c r="Y555" s="111"/>
      <c r="Z555" s="111"/>
      <c r="AH555" s="18"/>
      <c r="AI555" s="18"/>
      <c r="AJ555" s="18"/>
      <c r="AK555" s="18"/>
      <c r="AL555" s="18"/>
      <c r="AM555" s="18"/>
      <c r="AN555" s="18"/>
    </row>
    <row r="556" spans="1:40">
      <c r="A556" s="51"/>
      <c r="B556" s="51"/>
      <c r="C556" s="51"/>
      <c r="D556" s="51"/>
      <c r="E556" s="51"/>
      <c r="F556" s="55"/>
      <c r="G556" s="56"/>
      <c r="H556" s="57"/>
      <c r="I556" s="51"/>
      <c r="J556" s="51"/>
      <c r="K556" s="58"/>
      <c r="L556" s="59"/>
      <c r="M556" s="58"/>
      <c r="N556" s="58"/>
      <c r="O556" s="51"/>
      <c r="P556" s="51"/>
      <c r="Q556" s="37"/>
      <c r="R556" s="70"/>
      <c r="S556" s="70"/>
      <c r="T556" s="70"/>
      <c r="U556" s="71"/>
      <c r="V556" s="73"/>
      <c r="W556" s="75"/>
      <c r="X556" s="117"/>
      <c r="Y556" s="111"/>
      <c r="Z556" s="111"/>
      <c r="AH556" s="18"/>
      <c r="AI556" s="18"/>
      <c r="AJ556" s="18"/>
      <c r="AK556" s="18"/>
      <c r="AL556" s="18"/>
      <c r="AM556" s="18"/>
      <c r="AN556" s="18"/>
    </row>
    <row r="557" spans="1:40">
      <c r="A557" s="51"/>
      <c r="B557" s="51"/>
      <c r="C557" s="51"/>
      <c r="D557" s="51"/>
      <c r="E557" s="51"/>
      <c r="F557" s="55"/>
      <c r="G557" s="56"/>
      <c r="H557" s="57"/>
      <c r="I557" s="51"/>
      <c r="J557" s="51"/>
      <c r="K557" s="58"/>
      <c r="L557" s="59"/>
      <c r="M557" s="58"/>
      <c r="N557" s="58"/>
      <c r="O557" s="51"/>
      <c r="P557" s="51"/>
      <c r="Q557" s="37"/>
      <c r="R557" s="70"/>
      <c r="S557" s="70"/>
      <c r="T557" s="70"/>
      <c r="U557" s="71"/>
      <c r="V557" s="73"/>
      <c r="W557" s="75"/>
      <c r="X557" s="117"/>
      <c r="Y557" s="111"/>
      <c r="Z557" s="111"/>
      <c r="AH557" s="18"/>
      <c r="AI557" s="18"/>
      <c r="AJ557" s="18"/>
      <c r="AK557" s="18"/>
      <c r="AL557" s="18"/>
      <c r="AM557" s="18"/>
      <c r="AN557" s="18"/>
    </row>
    <row r="558" spans="1:40">
      <c r="A558" s="51"/>
      <c r="B558" s="51"/>
      <c r="C558" s="51"/>
      <c r="D558" s="51"/>
      <c r="E558" s="51"/>
      <c r="F558" s="55"/>
      <c r="G558" s="56"/>
      <c r="H558" s="57"/>
      <c r="I558" s="51"/>
      <c r="J558" s="51"/>
      <c r="K558" s="58"/>
      <c r="L558" s="59"/>
      <c r="M558" s="58"/>
      <c r="N558" s="58"/>
      <c r="O558" s="51"/>
      <c r="P558" s="51"/>
      <c r="Q558" s="37"/>
      <c r="R558" s="70"/>
      <c r="S558" s="70"/>
      <c r="T558" s="70"/>
      <c r="U558" s="71"/>
      <c r="V558" s="73"/>
      <c r="W558" s="75"/>
      <c r="X558" s="117"/>
      <c r="Y558" s="111"/>
      <c r="Z558" s="111"/>
      <c r="AH558" s="18"/>
      <c r="AI558" s="18"/>
      <c r="AJ558" s="18"/>
      <c r="AK558" s="18"/>
      <c r="AL558" s="18"/>
      <c r="AM558" s="18"/>
      <c r="AN558" s="18"/>
    </row>
    <row r="559" spans="1:40">
      <c r="A559" s="51"/>
      <c r="B559" s="51"/>
      <c r="C559" s="51"/>
      <c r="D559" s="51"/>
      <c r="E559" s="51"/>
      <c r="F559" s="55"/>
      <c r="G559" s="56"/>
      <c r="H559" s="57"/>
      <c r="I559" s="51"/>
      <c r="J559" s="51"/>
      <c r="K559" s="58"/>
      <c r="L559" s="59"/>
      <c r="M559" s="58"/>
      <c r="N559" s="58"/>
      <c r="O559" s="51"/>
      <c r="P559" s="51"/>
      <c r="Q559" s="37"/>
      <c r="R559" s="70"/>
      <c r="S559" s="70"/>
      <c r="T559" s="70"/>
      <c r="U559" s="71"/>
      <c r="V559" s="73"/>
      <c r="W559" s="75"/>
      <c r="X559" s="117"/>
      <c r="Y559" s="111"/>
      <c r="Z559" s="111"/>
      <c r="AH559" s="18"/>
      <c r="AI559" s="18"/>
      <c r="AJ559" s="18"/>
      <c r="AK559" s="18"/>
      <c r="AL559" s="18"/>
      <c r="AM559" s="18"/>
      <c r="AN559" s="18"/>
    </row>
    <row r="560" spans="1:40">
      <c r="A560" s="51"/>
      <c r="B560" s="51"/>
      <c r="C560" s="51"/>
      <c r="D560" s="51"/>
      <c r="E560" s="51"/>
      <c r="F560" s="55"/>
      <c r="G560" s="56"/>
      <c r="H560" s="57"/>
      <c r="I560" s="51"/>
      <c r="J560" s="51"/>
      <c r="K560" s="58"/>
      <c r="L560" s="59"/>
      <c r="M560" s="58"/>
      <c r="N560" s="58"/>
      <c r="O560" s="51"/>
      <c r="P560" s="51"/>
      <c r="Q560" s="37"/>
      <c r="R560" s="70"/>
      <c r="S560" s="70"/>
      <c r="T560" s="70"/>
      <c r="U560" s="71"/>
      <c r="V560" s="73"/>
      <c r="W560" s="75"/>
      <c r="X560" s="117"/>
      <c r="Y560" s="111"/>
      <c r="Z560" s="111"/>
      <c r="AH560" s="18"/>
      <c r="AI560" s="18"/>
      <c r="AJ560" s="18"/>
      <c r="AK560" s="18"/>
      <c r="AL560" s="18"/>
      <c r="AM560" s="18"/>
      <c r="AN560" s="18"/>
    </row>
    <row r="561" spans="1:40">
      <c r="A561" s="51"/>
      <c r="B561" s="51"/>
      <c r="C561" s="51"/>
      <c r="D561" s="51"/>
      <c r="E561" s="51"/>
      <c r="F561" s="55"/>
      <c r="G561" s="56"/>
      <c r="H561" s="57"/>
      <c r="I561" s="51"/>
      <c r="J561" s="51"/>
      <c r="K561" s="58"/>
      <c r="L561" s="59"/>
      <c r="M561" s="58"/>
      <c r="N561" s="58"/>
      <c r="O561" s="51"/>
      <c r="P561" s="51"/>
      <c r="Q561" s="37"/>
      <c r="R561" s="70"/>
      <c r="S561" s="70"/>
      <c r="T561" s="70"/>
      <c r="U561" s="71"/>
      <c r="V561" s="73"/>
      <c r="W561" s="75"/>
      <c r="X561" s="117"/>
      <c r="Y561" s="111"/>
      <c r="Z561" s="111"/>
      <c r="AH561" s="18"/>
      <c r="AI561" s="18"/>
      <c r="AJ561" s="18"/>
      <c r="AK561" s="18"/>
      <c r="AL561" s="18"/>
      <c r="AM561" s="18"/>
      <c r="AN561" s="18"/>
    </row>
    <row r="562" spans="1:40">
      <c r="A562" s="51"/>
      <c r="B562" s="51"/>
      <c r="C562" s="51"/>
      <c r="D562" s="51"/>
      <c r="E562" s="51"/>
      <c r="F562" s="55"/>
      <c r="G562" s="56"/>
      <c r="H562" s="57"/>
      <c r="I562" s="51"/>
      <c r="J562" s="51"/>
      <c r="K562" s="58"/>
      <c r="L562" s="59"/>
      <c r="M562" s="58"/>
      <c r="N562" s="58"/>
      <c r="O562" s="51"/>
      <c r="P562" s="51"/>
      <c r="Q562" s="37"/>
      <c r="R562" s="70"/>
      <c r="S562" s="70"/>
      <c r="T562" s="70"/>
      <c r="U562" s="71"/>
      <c r="V562" s="73"/>
      <c r="W562" s="75"/>
      <c r="X562" s="117"/>
      <c r="Y562" s="111"/>
      <c r="Z562" s="111"/>
      <c r="AH562" s="18"/>
      <c r="AI562" s="18"/>
      <c r="AJ562" s="18"/>
      <c r="AK562" s="18"/>
      <c r="AL562" s="18"/>
      <c r="AM562" s="18"/>
      <c r="AN562" s="18"/>
    </row>
    <row r="563" spans="1:40">
      <c r="A563" s="51"/>
      <c r="B563" s="51"/>
      <c r="C563" s="51"/>
      <c r="D563" s="51"/>
      <c r="E563" s="51"/>
      <c r="F563" s="55"/>
      <c r="G563" s="56"/>
      <c r="H563" s="57"/>
      <c r="I563" s="51"/>
      <c r="J563" s="51"/>
      <c r="K563" s="58"/>
      <c r="L563" s="59"/>
      <c r="M563" s="58"/>
      <c r="N563" s="58"/>
      <c r="O563" s="51"/>
      <c r="P563" s="51"/>
      <c r="Q563" s="37"/>
      <c r="R563" s="70"/>
      <c r="S563" s="70"/>
      <c r="T563" s="70"/>
      <c r="U563" s="71"/>
      <c r="V563" s="73"/>
      <c r="W563" s="75"/>
      <c r="X563" s="117"/>
      <c r="Y563" s="111"/>
      <c r="Z563" s="111"/>
      <c r="AH563" s="18"/>
      <c r="AI563" s="18"/>
      <c r="AJ563" s="18"/>
      <c r="AK563" s="18"/>
      <c r="AL563" s="18"/>
      <c r="AM563" s="18"/>
      <c r="AN563" s="18"/>
    </row>
    <row r="564" spans="1:40">
      <c r="A564" s="51"/>
      <c r="B564" s="51"/>
      <c r="C564" s="51"/>
      <c r="D564" s="51"/>
      <c r="E564" s="51"/>
      <c r="F564" s="55"/>
      <c r="G564" s="56"/>
      <c r="H564" s="57"/>
      <c r="I564" s="51"/>
      <c r="J564" s="51"/>
      <c r="K564" s="58"/>
      <c r="L564" s="59"/>
      <c r="M564" s="58"/>
      <c r="N564" s="58"/>
      <c r="O564" s="51"/>
      <c r="P564" s="51"/>
      <c r="Q564" s="37"/>
      <c r="R564" s="70"/>
      <c r="S564" s="70"/>
      <c r="T564" s="70"/>
      <c r="U564" s="71"/>
      <c r="V564" s="73"/>
      <c r="W564" s="75"/>
      <c r="X564" s="117"/>
      <c r="Y564" s="111"/>
      <c r="Z564" s="111"/>
      <c r="AH564" s="18"/>
      <c r="AI564" s="18"/>
      <c r="AJ564" s="18"/>
      <c r="AK564" s="18"/>
      <c r="AL564" s="18"/>
      <c r="AM564" s="18"/>
      <c r="AN564" s="18"/>
    </row>
    <row r="565" spans="1:40">
      <c r="A565" s="51"/>
      <c r="B565" s="51"/>
      <c r="C565" s="51"/>
      <c r="D565" s="51"/>
      <c r="E565" s="51"/>
      <c r="F565" s="55"/>
      <c r="G565" s="56"/>
      <c r="H565" s="57"/>
      <c r="I565" s="51"/>
      <c r="J565" s="51"/>
      <c r="K565" s="58"/>
      <c r="L565" s="59"/>
      <c r="M565" s="58"/>
      <c r="N565" s="58"/>
      <c r="O565" s="51"/>
      <c r="P565" s="51"/>
      <c r="Q565" s="37"/>
      <c r="R565" s="70"/>
      <c r="S565" s="70"/>
      <c r="T565" s="70"/>
      <c r="U565" s="71"/>
      <c r="V565" s="73"/>
      <c r="W565" s="75"/>
      <c r="X565" s="117"/>
      <c r="Y565" s="111"/>
      <c r="Z565" s="111"/>
      <c r="AH565" s="18"/>
      <c r="AI565" s="18"/>
      <c r="AJ565" s="18"/>
      <c r="AK565" s="18"/>
      <c r="AL565" s="18"/>
      <c r="AM565" s="18"/>
      <c r="AN565" s="18"/>
    </row>
    <row r="566" spans="1:40">
      <c r="A566" s="51"/>
      <c r="B566" s="51"/>
      <c r="C566" s="51"/>
      <c r="D566" s="51"/>
      <c r="E566" s="51"/>
      <c r="F566" s="55"/>
      <c r="G566" s="56"/>
      <c r="H566" s="57"/>
      <c r="I566" s="51"/>
      <c r="J566" s="51"/>
      <c r="K566" s="58"/>
      <c r="L566" s="59"/>
      <c r="M566" s="58"/>
      <c r="N566" s="58"/>
      <c r="O566" s="51"/>
      <c r="P566" s="51"/>
      <c r="Q566" s="37"/>
      <c r="R566" s="70"/>
      <c r="S566" s="70"/>
      <c r="T566" s="70"/>
      <c r="U566" s="71"/>
      <c r="V566" s="73"/>
      <c r="W566" s="75"/>
      <c r="X566" s="117"/>
      <c r="Y566" s="111"/>
      <c r="Z566" s="111"/>
      <c r="AH566" s="18"/>
      <c r="AI566" s="18"/>
      <c r="AJ566" s="18"/>
      <c r="AK566" s="18"/>
      <c r="AL566" s="18"/>
      <c r="AM566" s="18"/>
      <c r="AN566" s="18"/>
    </row>
    <row r="567" spans="1:40">
      <c r="A567" s="51"/>
      <c r="B567" s="51"/>
      <c r="C567" s="51"/>
      <c r="D567" s="51"/>
      <c r="E567" s="51"/>
      <c r="F567" s="55"/>
      <c r="G567" s="56"/>
      <c r="H567" s="57"/>
      <c r="I567" s="51"/>
      <c r="J567" s="51"/>
      <c r="K567" s="58"/>
      <c r="L567" s="59"/>
      <c r="M567" s="58"/>
      <c r="N567" s="58"/>
      <c r="O567" s="51"/>
      <c r="P567" s="51"/>
      <c r="Q567" s="37"/>
      <c r="R567" s="70"/>
      <c r="S567" s="70"/>
      <c r="T567" s="70"/>
      <c r="U567" s="71"/>
      <c r="V567" s="73"/>
      <c r="W567" s="75"/>
      <c r="X567" s="117"/>
      <c r="Y567" s="111"/>
      <c r="Z567" s="111"/>
      <c r="AH567" s="18"/>
      <c r="AI567" s="18"/>
      <c r="AJ567" s="18"/>
      <c r="AK567" s="18"/>
      <c r="AL567" s="18"/>
      <c r="AM567" s="18"/>
      <c r="AN567" s="18"/>
    </row>
    <row r="568" spans="1:40">
      <c r="A568" s="51"/>
      <c r="B568" s="51"/>
      <c r="C568" s="51"/>
      <c r="D568" s="51"/>
      <c r="E568" s="51"/>
      <c r="F568" s="55"/>
      <c r="G568" s="56"/>
      <c r="H568" s="57"/>
      <c r="I568" s="51"/>
      <c r="J568" s="51"/>
      <c r="K568" s="58"/>
      <c r="L568" s="59"/>
      <c r="M568" s="58"/>
      <c r="N568" s="58"/>
      <c r="O568" s="51"/>
      <c r="P568" s="51"/>
      <c r="Q568" s="37"/>
      <c r="R568" s="70"/>
      <c r="S568" s="70"/>
      <c r="T568" s="70"/>
      <c r="U568" s="71"/>
      <c r="V568" s="73"/>
      <c r="W568" s="75"/>
      <c r="X568" s="117"/>
      <c r="Y568" s="111"/>
      <c r="Z568" s="111"/>
      <c r="AH568" s="18"/>
      <c r="AI568" s="18"/>
      <c r="AJ568" s="18"/>
      <c r="AK568" s="18"/>
      <c r="AL568" s="18"/>
      <c r="AM568" s="18"/>
      <c r="AN568" s="18"/>
    </row>
    <row r="569" spans="1:40">
      <c r="A569" s="51"/>
      <c r="B569" s="51"/>
      <c r="C569" s="51"/>
      <c r="D569" s="51"/>
      <c r="E569" s="51"/>
      <c r="F569" s="55"/>
      <c r="G569" s="56"/>
      <c r="H569" s="57"/>
      <c r="I569" s="51"/>
      <c r="J569" s="51"/>
      <c r="K569" s="58"/>
      <c r="L569" s="59"/>
      <c r="M569" s="58"/>
      <c r="N569" s="58"/>
      <c r="O569" s="51"/>
      <c r="P569" s="51"/>
      <c r="Q569" s="37"/>
      <c r="R569" s="70"/>
      <c r="S569" s="70"/>
      <c r="T569" s="70"/>
      <c r="U569" s="71"/>
      <c r="V569" s="73"/>
      <c r="W569" s="75"/>
      <c r="X569" s="117"/>
      <c r="Y569" s="111"/>
      <c r="Z569" s="111"/>
      <c r="AH569" s="18"/>
      <c r="AI569" s="18"/>
      <c r="AJ569" s="18"/>
      <c r="AK569" s="18"/>
      <c r="AL569" s="18"/>
      <c r="AM569" s="18"/>
      <c r="AN569" s="18"/>
    </row>
    <row r="570" spans="1:40">
      <c r="A570" s="51"/>
      <c r="B570" s="51"/>
      <c r="C570" s="51"/>
      <c r="D570" s="51"/>
      <c r="E570" s="51"/>
      <c r="F570" s="55"/>
      <c r="G570" s="56"/>
      <c r="H570" s="57"/>
      <c r="I570" s="51"/>
      <c r="J570" s="51"/>
      <c r="K570" s="58"/>
      <c r="L570" s="59"/>
      <c r="M570" s="58"/>
      <c r="N570" s="58"/>
      <c r="O570" s="51"/>
      <c r="P570" s="51"/>
      <c r="Q570" s="37"/>
      <c r="R570" s="70"/>
      <c r="S570" s="70"/>
      <c r="T570" s="70"/>
      <c r="U570" s="71"/>
      <c r="V570" s="73"/>
      <c r="W570" s="75"/>
      <c r="X570" s="117"/>
      <c r="Y570" s="111"/>
      <c r="Z570" s="111"/>
      <c r="AH570" s="18"/>
      <c r="AI570" s="18"/>
      <c r="AJ570" s="18"/>
      <c r="AK570" s="18"/>
      <c r="AL570" s="18"/>
      <c r="AM570" s="18"/>
      <c r="AN570" s="18"/>
    </row>
    <row r="571" spans="1:40">
      <c r="A571" s="51"/>
      <c r="B571" s="51"/>
      <c r="C571" s="51"/>
      <c r="D571" s="51"/>
      <c r="E571" s="51"/>
      <c r="F571" s="55"/>
      <c r="G571" s="56"/>
      <c r="H571" s="57"/>
      <c r="I571" s="51"/>
      <c r="J571" s="51"/>
      <c r="K571" s="58"/>
      <c r="L571" s="59"/>
      <c r="M571" s="58"/>
      <c r="N571" s="58"/>
      <c r="O571" s="51"/>
      <c r="P571" s="51"/>
      <c r="Q571" s="37"/>
      <c r="R571" s="70"/>
      <c r="S571" s="70"/>
      <c r="T571" s="70"/>
      <c r="U571" s="71"/>
      <c r="V571" s="73"/>
      <c r="W571" s="75"/>
      <c r="X571" s="117"/>
      <c r="Y571" s="111"/>
      <c r="Z571" s="111"/>
      <c r="AH571" s="18"/>
      <c r="AI571" s="18"/>
      <c r="AJ571" s="18"/>
      <c r="AK571" s="18"/>
      <c r="AL571" s="18"/>
      <c r="AM571" s="18"/>
      <c r="AN571" s="18"/>
    </row>
    <row r="572" spans="1:40">
      <c r="A572" s="51"/>
      <c r="B572" s="51"/>
      <c r="C572" s="51"/>
      <c r="D572" s="51"/>
      <c r="E572" s="51"/>
      <c r="F572" s="55"/>
      <c r="G572" s="56"/>
      <c r="H572" s="57"/>
      <c r="I572" s="51"/>
      <c r="J572" s="51"/>
      <c r="K572" s="58"/>
      <c r="L572" s="59"/>
      <c r="M572" s="58"/>
      <c r="N572" s="58"/>
      <c r="O572" s="51"/>
      <c r="P572" s="51"/>
      <c r="Q572" s="37"/>
      <c r="R572" s="70"/>
      <c r="S572" s="70"/>
      <c r="T572" s="70"/>
      <c r="U572" s="71"/>
      <c r="V572" s="73"/>
      <c r="W572" s="75"/>
      <c r="X572" s="117"/>
      <c r="Y572" s="111"/>
      <c r="Z572" s="111"/>
      <c r="AH572" s="18"/>
      <c r="AI572" s="18"/>
      <c r="AJ572" s="18"/>
      <c r="AK572" s="18"/>
      <c r="AL572" s="18"/>
      <c r="AM572" s="18"/>
      <c r="AN572" s="18"/>
    </row>
    <row r="573" spans="1:40">
      <c r="A573" s="51"/>
      <c r="B573" s="51"/>
      <c r="C573" s="51"/>
      <c r="D573" s="51"/>
      <c r="E573" s="51"/>
      <c r="F573" s="55"/>
      <c r="G573" s="56"/>
      <c r="H573" s="57"/>
      <c r="I573" s="51"/>
      <c r="J573" s="51"/>
      <c r="K573" s="58"/>
      <c r="L573" s="59"/>
      <c r="M573" s="58"/>
      <c r="N573" s="58"/>
      <c r="O573" s="51"/>
      <c r="P573" s="51"/>
      <c r="Q573" s="37"/>
      <c r="R573" s="70"/>
      <c r="S573" s="70"/>
      <c r="T573" s="70"/>
      <c r="U573" s="71"/>
      <c r="V573" s="73"/>
      <c r="W573" s="75"/>
      <c r="X573" s="117"/>
      <c r="Y573" s="111"/>
      <c r="Z573" s="111"/>
      <c r="AH573" s="18"/>
      <c r="AI573" s="18"/>
      <c r="AJ573" s="18"/>
      <c r="AK573" s="18"/>
      <c r="AL573" s="18"/>
      <c r="AM573" s="18"/>
      <c r="AN573" s="18"/>
    </row>
    <row r="574" spans="1:40">
      <c r="A574" s="51"/>
      <c r="B574" s="51"/>
      <c r="C574" s="51"/>
      <c r="D574" s="51"/>
      <c r="E574" s="51"/>
      <c r="F574" s="55"/>
      <c r="G574" s="56"/>
      <c r="H574" s="57"/>
      <c r="I574" s="51"/>
      <c r="J574" s="51"/>
      <c r="K574" s="58"/>
      <c r="L574" s="59"/>
      <c r="M574" s="58"/>
      <c r="N574" s="58"/>
      <c r="O574" s="51"/>
      <c r="P574" s="51"/>
      <c r="Q574" s="37"/>
      <c r="R574" s="70"/>
      <c r="S574" s="70"/>
      <c r="T574" s="70"/>
      <c r="U574" s="71"/>
      <c r="V574" s="73"/>
      <c r="W574" s="75"/>
      <c r="X574" s="117"/>
      <c r="Y574" s="111"/>
      <c r="Z574" s="111"/>
      <c r="AH574" s="18"/>
      <c r="AI574" s="18"/>
      <c r="AJ574" s="18"/>
      <c r="AK574" s="18"/>
      <c r="AL574" s="18"/>
      <c r="AM574" s="18"/>
      <c r="AN574" s="18"/>
    </row>
    <row r="575" spans="1:40">
      <c r="A575" s="51"/>
      <c r="B575" s="51"/>
      <c r="C575" s="51"/>
      <c r="D575" s="51"/>
      <c r="E575" s="51"/>
      <c r="F575" s="55"/>
      <c r="G575" s="56"/>
      <c r="H575" s="57"/>
      <c r="I575" s="51"/>
      <c r="J575" s="51"/>
      <c r="K575" s="58"/>
      <c r="L575" s="59"/>
      <c r="M575" s="58"/>
      <c r="N575" s="58"/>
      <c r="O575" s="51"/>
      <c r="P575" s="51"/>
      <c r="Q575" s="37"/>
      <c r="R575" s="70"/>
      <c r="S575" s="70"/>
      <c r="T575" s="70"/>
      <c r="U575" s="71"/>
      <c r="V575" s="73"/>
      <c r="W575" s="75"/>
      <c r="X575" s="117"/>
      <c r="Y575" s="111"/>
      <c r="Z575" s="111"/>
      <c r="AH575" s="18"/>
      <c r="AI575" s="18"/>
      <c r="AJ575" s="18"/>
      <c r="AK575" s="18"/>
      <c r="AL575" s="18"/>
      <c r="AM575" s="18"/>
      <c r="AN575" s="18"/>
    </row>
    <row r="576" spans="1:40">
      <c r="A576" s="51"/>
      <c r="B576" s="51"/>
      <c r="C576" s="51"/>
      <c r="D576" s="51"/>
      <c r="E576" s="51"/>
      <c r="F576" s="55"/>
      <c r="G576" s="56"/>
      <c r="H576" s="57"/>
      <c r="I576" s="51"/>
      <c r="J576" s="51"/>
      <c r="K576" s="58"/>
      <c r="L576" s="59"/>
      <c r="M576" s="58"/>
      <c r="N576" s="58"/>
      <c r="O576" s="51"/>
      <c r="P576" s="51"/>
      <c r="Q576" s="37"/>
      <c r="R576" s="70"/>
      <c r="S576" s="70"/>
      <c r="T576" s="70"/>
      <c r="U576" s="71"/>
      <c r="V576" s="73"/>
      <c r="W576" s="75"/>
      <c r="X576" s="117"/>
      <c r="Y576" s="111"/>
      <c r="Z576" s="111"/>
      <c r="AH576" s="18"/>
      <c r="AI576" s="18"/>
      <c r="AJ576" s="18"/>
      <c r="AK576" s="18"/>
      <c r="AL576" s="18"/>
      <c r="AM576" s="18"/>
      <c r="AN576" s="18"/>
    </row>
    <row r="577" spans="1:40">
      <c r="A577" s="51"/>
      <c r="B577" s="51"/>
      <c r="C577" s="51"/>
      <c r="D577" s="51"/>
      <c r="E577" s="51"/>
      <c r="F577" s="55"/>
      <c r="G577" s="56"/>
      <c r="H577" s="57"/>
      <c r="I577" s="51"/>
      <c r="J577" s="51"/>
      <c r="K577" s="58"/>
      <c r="L577" s="59"/>
      <c r="M577" s="58"/>
      <c r="N577" s="58"/>
      <c r="O577" s="51"/>
      <c r="P577" s="51"/>
      <c r="Q577" s="37"/>
      <c r="R577" s="70"/>
      <c r="S577" s="70"/>
      <c r="T577" s="70"/>
      <c r="U577" s="71"/>
      <c r="V577" s="73"/>
      <c r="W577" s="75"/>
      <c r="X577" s="117"/>
      <c r="Y577" s="111"/>
      <c r="Z577" s="111"/>
      <c r="AH577" s="18"/>
      <c r="AI577" s="18"/>
      <c r="AJ577" s="18"/>
      <c r="AK577" s="18"/>
      <c r="AL577" s="18"/>
      <c r="AM577" s="18"/>
      <c r="AN577" s="18"/>
    </row>
    <row r="578" spans="1:40">
      <c r="A578" s="51"/>
      <c r="B578" s="51"/>
      <c r="C578" s="51"/>
      <c r="D578" s="51"/>
      <c r="E578" s="51"/>
      <c r="F578" s="55"/>
      <c r="G578" s="56"/>
      <c r="H578" s="57"/>
      <c r="I578" s="51"/>
      <c r="J578" s="51"/>
      <c r="K578" s="58"/>
      <c r="L578" s="59"/>
      <c r="M578" s="58"/>
      <c r="N578" s="58"/>
      <c r="O578" s="51"/>
      <c r="P578" s="51"/>
      <c r="Q578" s="37"/>
      <c r="R578" s="70"/>
      <c r="S578" s="70"/>
      <c r="T578" s="70"/>
      <c r="U578" s="71"/>
      <c r="V578" s="73"/>
      <c r="W578" s="75"/>
      <c r="X578" s="117"/>
      <c r="Y578" s="111"/>
      <c r="Z578" s="111"/>
      <c r="AH578" s="18"/>
      <c r="AI578" s="18"/>
      <c r="AJ578" s="18"/>
      <c r="AK578" s="18"/>
      <c r="AL578" s="18"/>
      <c r="AM578" s="18"/>
      <c r="AN578" s="18"/>
    </row>
    <row r="579" spans="1:40">
      <c r="A579" s="51"/>
      <c r="B579" s="51"/>
      <c r="C579" s="51"/>
      <c r="D579" s="51"/>
      <c r="E579" s="51"/>
      <c r="F579" s="55"/>
      <c r="G579" s="56"/>
      <c r="H579" s="57"/>
      <c r="I579" s="51"/>
      <c r="J579" s="51"/>
      <c r="K579" s="58"/>
      <c r="L579" s="59"/>
      <c r="M579" s="58"/>
      <c r="N579" s="58"/>
      <c r="O579" s="51"/>
      <c r="P579" s="51"/>
      <c r="Q579" s="37"/>
      <c r="R579" s="70"/>
      <c r="S579" s="70"/>
      <c r="T579" s="70"/>
      <c r="U579" s="71"/>
      <c r="V579" s="73"/>
      <c r="W579" s="75"/>
      <c r="X579" s="117"/>
      <c r="Y579" s="111"/>
      <c r="Z579" s="111"/>
      <c r="AH579" s="18"/>
      <c r="AI579" s="18"/>
      <c r="AJ579" s="18"/>
      <c r="AK579" s="18"/>
      <c r="AL579" s="18"/>
      <c r="AM579" s="18"/>
      <c r="AN579" s="18"/>
    </row>
    <row r="580" spans="1:40">
      <c r="A580" s="51"/>
      <c r="B580" s="51"/>
      <c r="C580" s="51"/>
      <c r="D580" s="51"/>
      <c r="E580" s="51"/>
      <c r="F580" s="55"/>
      <c r="G580" s="56"/>
      <c r="H580" s="57"/>
      <c r="I580" s="51"/>
      <c r="J580" s="51"/>
      <c r="K580" s="58"/>
      <c r="L580" s="59"/>
      <c r="M580" s="58"/>
      <c r="N580" s="58"/>
      <c r="O580" s="51"/>
      <c r="P580" s="51"/>
      <c r="Q580" s="37"/>
      <c r="R580" s="70"/>
      <c r="S580" s="70"/>
      <c r="T580" s="70"/>
      <c r="U580" s="71"/>
      <c r="V580" s="73"/>
      <c r="W580" s="75"/>
      <c r="X580" s="117"/>
      <c r="Y580" s="111"/>
      <c r="Z580" s="111"/>
      <c r="AH580" s="18"/>
      <c r="AI580" s="18"/>
      <c r="AJ580" s="18"/>
      <c r="AK580" s="18"/>
      <c r="AL580" s="18"/>
      <c r="AM580" s="18"/>
      <c r="AN580" s="18"/>
    </row>
    <row r="581" spans="1:40">
      <c r="A581" s="51"/>
      <c r="B581" s="51"/>
      <c r="C581" s="51"/>
      <c r="D581" s="51"/>
      <c r="E581" s="51"/>
      <c r="F581" s="55"/>
      <c r="G581" s="56"/>
      <c r="H581" s="57"/>
      <c r="I581" s="51"/>
      <c r="J581" s="51"/>
      <c r="K581" s="58"/>
      <c r="L581" s="59"/>
      <c r="M581" s="58"/>
      <c r="N581" s="58"/>
      <c r="O581" s="51"/>
      <c r="P581" s="51"/>
      <c r="Q581" s="37"/>
      <c r="R581" s="70"/>
      <c r="S581" s="70"/>
      <c r="T581" s="70"/>
      <c r="U581" s="71"/>
      <c r="V581" s="73"/>
      <c r="W581" s="75"/>
      <c r="X581" s="117"/>
      <c r="Y581" s="111"/>
      <c r="Z581" s="111"/>
      <c r="AH581" s="18"/>
      <c r="AI581" s="18"/>
      <c r="AJ581" s="18"/>
      <c r="AK581" s="18"/>
      <c r="AL581" s="18"/>
      <c r="AM581" s="18"/>
      <c r="AN581" s="18"/>
    </row>
    <row r="582" spans="1:40">
      <c r="A582" s="51"/>
      <c r="B582" s="51"/>
      <c r="C582" s="51"/>
      <c r="D582" s="51"/>
      <c r="E582" s="51"/>
      <c r="F582" s="55"/>
      <c r="G582" s="56"/>
      <c r="H582" s="57"/>
      <c r="I582" s="51"/>
      <c r="J582" s="51"/>
      <c r="K582" s="58"/>
      <c r="L582" s="59"/>
      <c r="M582" s="58"/>
      <c r="N582" s="58"/>
      <c r="O582" s="51"/>
      <c r="P582" s="51"/>
      <c r="Q582" s="37"/>
      <c r="R582" s="70"/>
      <c r="S582" s="70"/>
      <c r="T582" s="70"/>
      <c r="U582" s="71"/>
      <c r="V582" s="73"/>
      <c r="W582" s="75"/>
      <c r="X582" s="117"/>
      <c r="Y582" s="111"/>
      <c r="Z582" s="111"/>
      <c r="AH582" s="18"/>
      <c r="AI582" s="18"/>
      <c r="AJ582" s="18"/>
      <c r="AK582" s="18"/>
      <c r="AL582" s="18"/>
      <c r="AM582" s="18"/>
      <c r="AN582" s="18"/>
    </row>
    <row r="583" spans="1:40">
      <c r="A583" s="51"/>
      <c r="B583" s="51"/>
      <c r="C583" s="51"/>
      <c r="D583" s="51"/>
      <c r="E583" s="51"/>
      <c r="F583" s="55"/>
      <c r="G583" s="56"/>
      <c r="H583" s="57"/>
      <c r="I583" s="51"/>
      <c r="J583" s="51"/>
      <c r="K583" s="58"/>
      <c r="L583" s="59"/>
      <c r="M583" s="58"/>
      <c r="N583" s="58"/>
      <c r="O583" s="51"/>
      <c r="P583" s="51"/>
      <c r="Q583" s="37"/>
      <c r="R583" s="70"/>
      <c r="S583" s="70"/>
      <c r="T583" s="70"/>
      <c r="U583" s="71"/>
      <c r="V583" s="73"/>
      <c r="W583" s="75"/>
      <c r="X583" s="117"/>
      <c r="Y583" s="111"/>
      <c r="Z583" s="111"/>
      <c r="AH583" s="18"/>
      <c r="AI583" s="18"/>
      <c r="AJ583" s="18"/>
      <c r="AK583" s="18"/>
      <c r="AL583" s="18"/>
      <c r="AM583" s="18"/>
      <c r="AN583" s="18"/>
    </row>
    <row r="584" spans="1:40">
      <c r="A584" s="51"/>
      <c r="B584" s="51"/>
      <c r="C584" s="51"/>
      <c r="D584" s="51"/>
      <c r="E584" s="51"/>
      <c r="F584" s="55"/>
      <c r="G584" s="56"/>
      <c r="H584" s="57"/>
      <c r="I584" s="51"/>
      <c r="J584" s="51"/>
      <c r="K584" s="58"/>
      <c r="L584" s="59"/>
      <c r="M584" s="58"/>
      <c r="N584" s="58"/>
      <c r="O584" s="51"/>
      <c r="P584" s="51"/>
      <c r="Q584" s="37"/>
      <c r="R584" s="70"/>
      <c r="S584" s="70"/>
      <c r="T584" s="70"/>
      <c r="U584" s="71"/>
      <c r="V584" s="73"/>
      <c r="W584" s="75"/>
      <c r="X584" s="117"/>
      <c r="Y584" s="111"/>
      <c r="Z584" s="111"/>
      <c r="AH584" s="18"/>
      <c r="AI584" s="18"/>
      <c r="AJ584" s="18"/>
      <c r="AK584" s="18"/>
      <c r="AL584" s="18"/>
      <c r="AM584" s="18"/>
      <c r="AN584" s="18"/>
    </row>
    <row r="585" spans="1:40">
      <c r="A585" s="51"/>
      <c r="B585" s="51"/>
      <c r="C585" s="51"/>
      <c r="D585" s="51"/>
      <c r="E585" s="51"/>
      <c r="F585" s="55"/>
      <c r="G585" s="56"/>
      <c r="H585" s="57"/>
      <c r="I585" s="51"/>
      <c r="J585" s="51"/>
      <c r="K585" s="58"/>
      <c r="L585" s="59"/>
      <c r="M585" s="58"/>
      <c r="N585" s="58"/>
      <c r="O585" s="51"/>
      <c r="P585" s="51"/>
      <c r="Q585" s="37"/>
      <c r="R585" s="70"/>
      <c r="S585" s="70"/>
      <c r="T585" s="70"/>
      <c r="U585" s="71"/>
      <c r="V585" s="73"/>
      <c r="W585" s="75"/>
      <c r="X585" s="117"/>
      <c r="Y585" s="111"/>
      <c r="Z585" s="111"/>
      <c r="AH585" s="18"/>
      <c r="AI585" s="18"/>
      <c r="AJ585" s="18"/>
      <c r="AK585" s="18"/>
      <c r="AL585" s="18"/>
      <c r="AM585" s="18"/>
      <c r="AN585" s="18"/>
    </row>
    <row r="586" spans="1:40">
      <c r="A586" s="51"/>
      <c r="B586" s="51"/>
      <c r="C586" s="51"/>
      <c r="D586" s="51"/>
      <c r="E586" s="51"/>
      <c r="F586" s="55"/>
      <c r="G586" s="56"/>
      <c r="H586" s="57"/>
      <c r="I586" s="51"/>
      <c r="J586" s="51"/>
      <c r="K586" s="58"/>
      <c r="L586" s="59"/>
      <c r="M586" s="58"/>
      <c r="N586" s="58"/>
      <c r="O586" s="51"/>
      <c r="P586" s="51"/>
      <c r="Q586" s="37"/>
      <c r="R586" s="70"/>
      <c r="S586" s="70"/>
      <c r="T586" s="70"/>
      <c r="U586" s="71"/>
      <c r="V586" s="73"/>
      <c r="W586" s="75"/>
      <c r="X586" s="117"/>
      <c r="Y586" s="111"/>
      <c r="Z586" s="111"/>
      <c r="AH586" s="18"/>
      <c r="AI586" s="18"/>
      <c r="AJ586" s="18"/>
      <c r="AK586" s="18"/>
      <c r="AL586" s="18"/>
      <c r="AM586" s="18"/>
      <c r="AN586" s="18"/>
    </row>
    <row r="587" spans="1:40">
      <c r="A587" s="51"/>
      <c r="B587" s="51"/>
      <c r="C587" s="51"/>
      <c r="D587" s="51"/>
      <c r="E587" s="51"/>
      <c r="F587" s="55"/>
      <c r="G587" s="56"/>
      <c r="H587" s="57"/>
      <c r="I587" s="51"/>
      <c r="J587" s="51"/>
      <c r="K587" s="58"/>
      <c r="L587" s="59"/>
      <c r="M587" s="58"/>
      <c r="N587" s="58"/>
      <c r="O587" s="51"/>
      <c r="P587" s="51"/>
      <c r="Q587" s="37"/>
      <c r="R587" s="70"/>
      <c r="S587" s="70"/>
      <c r="T587" s="70"/>
      <c r="U587" s="71"/>
      <c r="V587" s="73"/>
      <c r="W587" s="75"/>
      <c r="X587" s="117"/>
      <c r="Y587" s="111"/>
      <c r="Z587" s="111"/>
      <c r="AH587" s="18"/>
      <c r="AI587" s="18"/>
      <c r="AJ587" s="18"/>
      <c r="AK587" s="18"/>
      <c r="AL587" s="18"/>
      <c r="AM587" s="18"/>
      <c r="AN587" s="18"/>
    </row>
    <row r="588" spans="1:40">
      <c r="A588" s="51"/>
      <c r="B588" s="51"/>
      <c r="C588" s="51"/>
      <c r="D588" s="51"/>
      <c r="E588" s="51"/>
      <c r="F588" s="55"/>
      <c r="G588" s="56"/>
      <c r="H588" s="57"/>
      <c r="I588" s="51"/>
      <c r="J588" s="51"/>
      <c r="K588" s="58"/>
      <c r="L588" s="59"/>
      <c r="M588" s="58"/>
      <c r="N588" s="58"/>
      <c r="O588" s="51"/>
      <c r="P588" s="51"/>
      <c r="Q588" s="37"/>
      <c r="R588" s="70"/>
      <c r="S588" s="70"/>
      <c r="T588" s="70"/>
      <c r="U588" s="71"/>
      <c r="V588" s="73"/>
      <c r="W588" s="75"/>
      <c r="X588" s="117"/>
      <c r="Y588" s="111"/>
      <c r="Z588" s="111"/>
      <c r="AH588" s="18"/>
      <c r="AI588" s="18"/>
      <c r="AJ588" s="18"/>
      <c r="AK588" s="18"/>
      <c r="AL588" s="18"/>
      <c r="AM588" s="18"/>
      <c r="AN588" s="18"/>
    </row>
    <row r="589" spans="1:40">
      <c r="A589" s="51"/>
      <c r="B589" s="51"/>
      <c r="C589" s="51"/>
      <c r="D589" s="51"/>
      <c r="E589" s="51"/>
      <c r="F589" s="55"/>
      <c r="G589" s="56"/>
      <c r="H589" s="57"/>
      <c r="I589" s="51"/>
      <c r="J589" s="51"/>
      <c r="K589" s="58"/>
      <c r="L589" s="59"/>
      <c r="M589" s="58"/>
      <c r="N589" s="58"/>
      <c r="O589" s="51"/>
      <c r="P589" s="51"/>
      <c r="Q589" s="37"/>
      <c r="R589" s="70"/>
      <c r="S589" s="70"/>
      <c r="T589" s="70"/>
      <c r="U589" s="71"/>
      <c r="V589" s="73"/>
      <c r="W589" s="75"/>
      <c r="X589" s="117"/>
      <c r="Y589" s="111"/>
      <c r="Z589" s="111"/>
      <c r="AH589" s="18"/>
      <c r="AI589" s="18"/>
      <c r="AJ589" s="18"/>
      <c r="AK589" s="18"/>
      <c r="AL589" s="18"/>
      <c r="AM589" s="18"/>
      <c r="AN589" s="18"/>
    </row>
    <row r="590" spans="1:40">
      <c r="A590" s="51"/>
      <c r="B590" s="51"/>
      <c r="C590" s="51"/>
      <c r="D590" s="51"/>
      <c r="E590" s="51"/>
      <c r="F590" s="55"/>
      <c r="G590" s="56"/>
      <c r="H590" s="57"/>
      <c r="I590" s="51"/>
      <c r="J590" s="51"/>
      <c r="K590" s="58"/>
      <c r="L590" s="59"/>
      <c r="M590" s="58"/>
      <c r="N590" s="58"/>
      <c r="O590" s="51"/>
      <c r="P590" s="51"/>
      <c r="Q590" s="37"/>
      <c r="R590" s="70"/>
      <c r="S590" s="70"/>
      <c r="T590" s="70"/>
      <c r="U590" s="71"/>
      <c r="V590" s="73"/>
      <c r="W590" s="75"/>
      <c r="X590" s="117"/>
      <c r="Y590" s="111"/>
      <c r="Z590" s="111"/>
      <c r="AH590" s="18"/>
      <c r="AI590" s="18"/>
      <c r="AJ590" s="18"/>
      <c r="AK590" s="18"/>
      <c r="AL590" s="18"/>
      <c r="AM590" s="18"/>
      <c r="AN590" s="18"/>
    </row>
    <row r="591" spans="1:40">
      <c r="A591" s="51"/>
      <c r="B591" s="51"/>
      <c r="C591" s="51"/>
      <c r="D591" s="51"/>
      <c r="E591" s="51"/>
      <c r="F591" s="55"/>
      <c r="G591" s="56"/>
      <c r="H591" s="57"/>
      <c r="I591" s="51"/>
      <c r="J591" s="51"/>
      <c r="K591" s="58"/>
      <c r="L591" s="59"/>
      <c r="M591" s="58"/>
      <c r="N591" s="58"/>
      <c r="O591" s="51"/>
      <c r="P591" s="51"/>
      <c r="Q591" s="37"/>
      <c r="R591" s="70"/>
      <c r="S591" s="70"/>
      <c r="T591" s="70"/>
      <c r="U591" s="71"/>
      <c r="V591" s="73"/>
      <c r="W591" s="75"/>
      <c r="X591" s="117"/>
      <c r="Y591" s="111"/>
      <c r="Z591" s="111"/>
      <c r="AH591" s="18"/>
      <c r="AI591" s="18"/>
      <c r="AJ591" s="18"/>
      <c r="AK591" s="18"/>
      <c r="AL591" s="18"/>
      <c r="AM591" s="18"/>
      <c r="AN591" s="18"/>
    </row>
    <row r="592" spans="1:40">
      <c r="A592" s="51"/>
      <c r="B592" s="51"/>
      <c r="C592" s="51"/>
      <c r="D592" s="51"/>
      <c r="E592" s="51"/>
      <c r="F592" s="55"/>
      <c r="G592" s="56"/>
      <c r="H592" s="57"/>
      <c r="I592" s="51"/>
      <c r="J592" s="51"/>
      <c r="K592" s="58"/>
      <c r="L592" s="59"/>
      <c r="M592" s="58"/>
      <c r="N592" s="58"/>
      <c r="O592" s="51"/>
      <c r="P592" s="51"/>
      <c r="Q592" s="37"/>
      <c r="R592" s="70"/>
      <c r="S592" s="70"/>
      <c r="T592" s="70"/>
      <c r="U592" s="71"/>
      <c r="V592" s="73"/>
      <c r="W592" s="75"/>
      <c r="X592" s="117"/>
      <c r="Y592" s="111"/>
      <c r="Z592" s="111"/>
      <c r="AH592" s="18"/>
      <c r="AI592" s="18"/>
      <c r="AJ592" s="18"/>
      <c r="AK592" s="18"/>
      <c r="AL592" s="18"/>
      <c r="AM592" s="18"/>
      <c r="AN592" s="18"/>
    </row>
    <row r="593" spans="1:40">
      <c r="A593" s="51"/>
      <c r="B593" s="51"/>
      <c r="C593" s="51"/>
      <c r="D593" s="51"/>
      <c r="E593" s="51"/>
      <c r="F593" s="55"/>
      <c r="G593" s="56"/>
      <c r="H593" s="57"/>
      <c r="I593" s="51"/>
      <c r="J593" s="51"/>
      <c r="K593" s="58"/>
      <c r="L593" s="59"/>
      <c r="M593" s="58"/>
      <c r="N593" s="58"/>
      <c r="O593" s="51"/>
      <c r="P593" s="51"/>
      <c r="Q593" s="37"/>
      <c r="R593" s="70"/>
      <c r="S593" s="70"/>
      <c r="T593" s="70"/>
      <c r="U593" s="71"/>
      <c r="V593" s="73"/>
      <c r="W593" s="75"/>
      <c r="X593" s="117"/>
      <c r="Y593" s="111"/>
      <c r="Z593" s="111"/>
      <c r="AH593" s="18"/>
      <c r="AI593" s="18"/>
      <c r="AJ593" s="18"/>
      <c r="AK593" s="18"/>
      <c r="AL593" s="18"/>
      <c r="AM593" s="18"/>
      <c r="AN593" s="18"/>
    </row>
    <row r="594" spans="1:40">
      <c r="A594" s="51"/>
      <c r="B594" s="51"/>
      <c r="C594" s="51"/>
      <c r="D594" s="51"/>
      <c r="E594" s="51"/>
      <c r="F594" s="55"/>
      <c r="G594" s="56"/>
      <c r="H594" s="57"/>
      <c r="I594" s="51"/>
      <c r="J594" s="51"/>
      <c r="K594" s="58"/>
      <c r="L594" s="59"/>
      <c r="M594" s="58"/>
      <c r="N594" s="58"/>
      <c r="O594" s="51"/>
      <c r="P594" s="51"/>
      <c r="Q594" s="37"/>
      <c r="R594" s="70"/>
      <c r="S594" s="70"/>
      <c r="T594" s="70"/>
      <c r="U594" s="71"/>
      <c r="V594" s="73"/>
      <c r="W594" s="75"/>
      <c r="X594" s="117"/>
      <c r="Y594" s="111"/>
      <c r="Z594" s="111"/>
      <c r="AH594" s="18"/>
      <c r="AI594" s="18"/>
      <c r="AJ594" s="18"/>
      <c r="AK594" s="18"/>
      <c r="AL594" s="18"/>
      <c r="AM594" s="18"/>
      <c r="AN594" s="18"/>
    </row>
    <row r="595" spans="1:40">
      <c r="A595" s="51"/>
      <c r="B595" s="51"/>
      <c r="C595" s="51"/>
      <c r="D595" s="51"/>
      <c r="E595" s="51"/>
      <c r="F595" s="55"/>
      <c r="G595" s="56"/>
      <c r="H595" s="57"/>
      <c r="I595" s="51"/>
      <c r="J595" s="51"/>
      <c r="K595" s="58"/>
      <c r="L595" s="59"/>
      <c r="M595" s="58"/>
      <c r="N595" s="58"/>
      <c r="O595" s="51"/>
      <c r="P595" s="51"/>
      <c r="Q595" s="37"/>
      <c r="R595" s="70"/>
      <c r="S595" s="70"/>
      <c r="T595" s="70"/>
      <c r="U595" s="71"/>
      <c r="V595" s="73"/>
      <c r="W595" s="75"/>
      <c r="X595" s="117"/>
      <c r="Y595" s="111"/>
      <c r="Z595" s="111"/>
      <c r="AH595" s="18"/>
      <c r="AI595" s="18"/>
      <c r="AJ595" s="18"/>
      <c r="AK595" s="18"/>
      <c r="AL595" s="18"/>
      <c r="AM595" s="18"/>
      <c r="AN595" s="18"/>
    </row>
    <row r="596" spans="1:40">
      <c r="A596" s="51"/>
      <c r="B596" s="51"/>
      <c r="C596" s="51"/>
      <c r="D596" s="51"/>
      <c r="E596" s="51"/>
      <c r="F596" s="55"/>
      <c r="G596" s="56"/>
      <c r="H596" s="57"/>
      <c r="I596" s="51"/>
      <c r="J596" s="51"/>
      <c r="K596" s="58"/>
      <c r="L596" s="59"/>
      <c r="M596" s="58"/>
      <c r="N596" s="58"/>
      <c r="O596" s="51"/>
      <c r="P596" s="51"/>
      <c r="Q596" s="37"/>
      <c r="R596" s="70"/>
      <c r="S596" s="70"/>
      <c r="T596" s="70"/>
      <c r="U596" s="71"/>
      <c r="V596" s="73"/>
      <c r="W596" s="75"/>
      <c r="X596" s="117"/>
      <c r="Y596" s="111"/>
      <c r="Z596" s="111"/>
      <c r="AH596" s="18"/>
      <c r="AI596" s="18"/>
      <c r="AJ596" s="18"/>
      <c r="AK596" s="18"/>
      <c r="AL596" s="18"/>
      <c r="AM596" s="18"/>
      <c r="AN596" s="18"/>
    </row>
    <row r="597" spans="1:40">
      <c r="A597" s="51"/>
      <c r="B597" s="51"/>
      <c r="C597" s="51"/>
      <c r="D597" s="51"/>
      <c r="E597" s="51"/>
      <c r="F597" s="55"/>
      <c r="G597" s="56"/>
      <c r="H597" s="57"/>
      <c r="I597" s="51"/>
      <c r="J597" s="51"/>
      <c r="K597" s="58"/>
      <c r="L597" s="59"/>
      <c r="M597" s="58"/>
      <c r="N597" s="58"/>
      <c r="O597" s="51"/>
      <c r="P597" s="51"/>
      <c r="Q597" s="37"/>
      <c r="R597" s="70"/>
      <c r="S597" s="70"/>
      <c r="T597" s="70"/>
      <c r="U597" s="71"/>
      <c r="V597" s="73"/>
      <c r="W597" s="75"/>
      <c r="X597" s="117"/>
      <c r="Y597" s="111"/>
      <c r="Z597" s="111"/>
      <c r="AH597" s="18"/>
      <c r="AI597" s="18"/>
      <c r="AJ597" s="18"/>
      <c r="AK597" s="18"/>
      <c r="AL597" s="18"/>
      <c r="AM597" s="18"/>
      <c r="AN597" s="18"/>
    </row>
    <row r="598" spans="1:40">
      <c r="A598" s="51"/>
      <c r="B598" s="51"/>
      <c r="C598" s="51"/>
      <c r="D598" s="51"/>
      <c r="E598" s="51"/>
      <c r="F598" s="55"/>
      <c r="G598" s="56"/>
      <c r="H598" s="57"/>
      <c r="I598" s="51"/>
      <c r="J598" s="51"/>
      <c r="K598" s="58"/>
      <c r="L598" s="59"/>
      <c r="M598" s="58"/>
      <c r="N598" s="58"/>
      <c r="O598" s="51"/>
      <c r="P598" s="51"/>
      <c r="Q598" s="37"/>
      <c r="R598" s="70"/>
      <c r="S598" s="70"/>
      <c r="T598" s="70"/>
      <c r="U598" s="71"/>
      <c r="V598" s="73"/>
      <c r="W598" s="75"/>
      <c r="X598" s="117"/>
      <c r="Y598" s="111"/>
      <c r="Z598" s="111"/>
      <c r="AH598" s="18"/>
      <c r="AI598" s="18"/>
      <c r="AJ598" s="18"/>
      <c r="AK598" s="18"/>
      <c r="AL598" s="18"/>
      <c r="AM598" s="18"/>
      <c r="AN598" s="18"/>
    </row>
    <row r="599" spans="1:40">
      <c r="A599" s="51"/>
      <c r="B599" s="51"/>
      <c r="C599" s="51"/>
      <c r="D599" s="51"/>
      <c r="E599" s="51"/>
      <c r="F599" s="55"/>
      <c r="G599" s="56"/>
      <c r="H599" s="57"/>
      <c r="I599" s="51"/>
      <c r="J599" s="51"/>
      <c r="K599" s="58"/>
      <c r="L599" s="59"/>
      <c r="M599" s="58"/>
      <c r="N599" s="58"/>
      <c r="O599" s="51"/>
      <c r="P599" s="51"/>
      <c r="Q599" s="37"/>
      <c r="R599" s="70"/>
      <c r="S599" s="70"/>
      <c r="T599" s="70"/>
      <c r="U599" s="71"/>
      <c r="V599" s="73"/>
      <c r="W599" s="75"/>
      <c r="X599" s="117"/>
      <c r="Y599" s="111"/>
      <c r="Z599" s="111"/>
      <c r="AH599" s="18"/>
      <c r="AI599" s="18"/>
      <c r="AJ599" s="18"/>
      <c r="AK599" s="18"/>
      <c r="AL599" s="18"/>
      <c r="AM599" s="18"/>
      <c r="AN599" s="18"/>
    </row>
    <row r="600" spans="1:40">
      <c r="A600" s="51"/>
      <c r="B600" s="51"/>
      <c r="C600" s="51"/>
      <c r="D600" s="51"/>
      <c r="E600" s="51"/>
      <c r="F600" s="55"/>
      <c r="G600" s="56"/>
      <c r="H600" s="57"/>
      <c r="I600" s="51"/>
      <c r="J600" s="51"/>
      <c r="K600" s="58"/>
      <c r="L600" s="59"/>
      <c r="M600" s="58"/>
      <c r="N600" s="58"/>
      <c r="O600" s="51"/>
      <c r="P600" s="51"/>
      <c r="Q600" s="37"/>
      <c r="R600" s="70"/>
      <c r="S600" s="70"/>
      <c r="T600" s="70"/>
      <c r="U600" s="71"/>
      <c r="V600" s="73"/>
      <c r="W600" s="75"/>
      <c r="X600" s="117"/>
      <c r="Y600" s="111"/>
      <c r="Z600" s="111"/>
      <c r="AH600" s="18"/>
      <c r="AI600" s="18"/>
      <c r="AJ600" s="18"/>
      <c r="AK600" s="18"/>
      <c r="AL600" s="18"/>
      <c r="AM600" s="18"/>
      <c r="AN600" s="18"/>
    </row>
    <row r="601" spans="1:40">
      <c r="A601" s="51"/>
      <c r="B601" s="51"/>
      <c r="C601" s="51"/>
      <c r="D601" s="51"/>
      <c r="E601" s="51"/>
      <c r="F601" s="55"/>
      <c r="G601" s="56"/>
      <c r="H601" s="57"/>
      <c r="I601" s="51"/>
      <c r="J601" s="51"/>
      <c r="K601" s="58"/>
      <c r="L601" s="59"/>
      <c r="M601" s="58"/>
      <c r="N601" s="58"/>
      <c r="O601" s="51"/>
      <c r="P601" s="51"/>
      <c r="Q601" s="37"/>
      <c r="R601" s="70"/>
      <c r="S601" s="70"/>
      <c r="T601" s="70"/>
      <c r="U601" s="71"/>
      <c r="V601" s="73"/>
      <c r="W601" s="75"/>
      <c r="X601" s="117"/>
      <c r="Y601" s="111"/>
      <c r="Z601" s="111"/>
      <c r="AH601" s="18"/>
      <c r="AI601" s="18"/>
      <c r="AJ601" s="18"/>
      <c r="AK601" s="18"/>
      <c r="AL601" s="18"/>
      <c r="AM601" s="18"/>
      <c r="AN601" s="18"/>
    </row>
    <row r="602" spans="1:40">
      <c r="A602" s="51"/>
      <c r="B602" s="51"/>
      <c r="C602" s="51"/>
      <c r="D602" s="51"/>
      <c r="E602" s="51"/>
      <c r="F602" s="55"/>
      <c r="G602" s="56"/>
      <c r="H602" s="57"/>
      <c r="I602" s="51"/>
      <c r="J602" s="51"/>
      <c r="K602" s="58"/>
      <c r="L602" s="59"/>
      <c r="M602" s="58"/>
      <c r="N602" s="58"/>
      <c r="O602" s="51"/>
      <c r="P602" s="51"/>
      <c r="Q602" s="37"/>
      <c r="R602" s="70"/>
      <c r="S602" s="70"/>
      <c r="T602" s="70"/>
      <c r="U602" s="71"/>
      <c r="V602" s="73"/>
      <c r="W602" s="75"/>
      <c r="X602" s="117"/>
      <c r="Y602" s="111"/>
      <c r="Z602" s="111"/>
      <c r="AH602" s="18"/>
      <c r="AI602" s="18"/>
      <c r="AJ602" s="18"/>
      <c r="AK602" s="18"/>
      <c r="AL602" s="18"/>
      <c r="AM602" s="18"/>
      <c r="AN602" s="18"/>
    </row>
    <row r="603" spans="1:40">
      <c r="A603" s="51"/>
      <c r="B603" s="51"/>
      <c r="C603" s="51"/>
      <c r="D603" s="51"/>
      <c r="E603" s="51"/>
      <c r="F603" s="55"/>
      <c r="G603" s="56"/>
      <c r="H603" s="57"/>
      <c r="I603" s="51"/>
      <c r="J603" s="51"/>
      <c r="K603" s="58"/>
      <c r="L603" s="59"/>
      <c r="M603" s="58"/>
      <c r="N603" s="58"/>
      <c r="O603" s="51"/>
      <c r="P603" s="51"/>
      <c r="Q603" s="37"/>
      <c r="R603" s="70"/>
      <c r="S603" s="70"/>
      <c r="T603" s="70"/>
      <c r="U603" s="71"/>
      <c r="V603" s="73"/>
      <c r="W603" s="75"/>
      <c r="X603" s="117"/>
      <c r="Y603" s="111"/>
      <c r="Z603" s="111"/>
      <c r="AH603" s="18"/>
      <c r="AI603" s="18"/>
      <c r="AJ603" s="18"/>
      <c r="AK603" s="18"/>
      <c r="AL603" s="18"/>
      <c r="AM603" s="18"/>
      <c r="AN603" s="18"/>
    </row>
    <row r="604" spans="1:40">
      <c r="A604" s="51"/>
      <c r="B604" s="51"/>
      <c r="C604" s="51"/>
      <c r="D604" s="51"/>
      <c r="E604" s="51"/>
      <c r="F604" s="55"/>
      <c r="G604" s="56"/>
      <c r="H604" s="57"/>
      <c r="I604" s="51"/>
      <c r="J604" s="51"/>
      <c r="K604" s="58"/>
      <c r="L604" s="59"/>
      <c r="M604" s="58"/>
      <c r="N604" s="58"/>
      <c r="O604" s="51"/>
      <c r="P604" s="51"/>
      <c r="Q604" s="37"/>
      <c r="R604" s="70"/>
      <c r="S604" s="70"/>
      <c r="T604" s="70"/>
      <c r="U604" s="71"/>
      <c r="V604" s="73"/>
      <c r="W604" s="75"/>
      <c r="X604" s="117"/>
      <c r="Y604" s="111"/>
      <c r="Z604" s="111"/>
      <c r="AH604" s="18"/>
      <c r="AI604" s="18"/>
      <c r="AJ604" s="18"/>
      <c r="AK604" s="18"/>
      <c r="AL604" s="18"/>
      <c r="AM604" s="18"/>
      <c r="AN604" s="18"/>
    </row>
    <row r="605" spans="1:40">
      <c r="A605" s="51"/>
      <c r="B605" s="51"/>
      <c r="C605" s="51"/>
      <c r="D605" s="51"/>
      <c r="E605" s="51"/>
      <c r="F605" s="55"/>
      <c r="G605" s="56"/>
      <c r="H605" s="57"/>
      <c r="I605" s="51"/>
      <c r="J605" s="51"/>
      <c r="K605" s="58"/>
      <c r="L605" s="59"/>
      <c r="M605" s="58"/>
      <c r="N605" s="58"/>
      <c r="O605" s="51"/>
      <c r="P605" s="51"/>
      <c r="Q605" s="37"/>
      <c r="R605" s="70"/>
      <c r="S605" s="70"/>
      <c r="T605" s="70"/>
      <c r="U605" s="71"/>
      <c r="V605" s="73"/>
      <c r="W605" s="75"/>
      <c r="X605" s="117"/>
      <c r="Y605" s="111"/>
      <c r="Z605" s="111"/>
      <c r="AH605" s="18"/>
      <c r="AI605" s="18"/>
      <c r="AJ605" s="18"/>
      <c r="AK605" s="18"/>
      <c r="AL605" s="18"/>
      <c r="AM605" s="18"/>
      <c r="AN605" s="18"/>
    </row>
    <row r="606" spans="1:40">
      <c r="A606" s="51"/>
      <c r="B606" s="51"/>
      <c r="C606" s="51"/>
      <c r="D606" s="51"/>
      <c r="E606" s="51"/>
      <c r="F606" s="55"/>
      <c r="G606" s="56"/>
      <c r="H606" s="57"/>
      <c r="I606" s="51"/>
      <c r="J606" s="51"/>
      <c r="K606" s="58"/>
      <c r="L606" s="59"/>
      <c r="M606" s="58"/>
      <c r="N606" s="58"/>
      <c r="O606" s="51"/>
      <c r="P606" s="51"/>
      <c r="Q606" s="37"/>
      <c r="R606" s="70"/>
      <c r="S606" s="70"/>
      <c r="T606" s="70"/>
      <c r="U606" s="71"/>
      <c r="V606" s="73"/>
      <c r="W606" s="75"/>
      <c r="X606" s="117"/>
      <c r="Y606" s="111"/>
      <c r="Z606" s="111"/>
      <c r="AH606" s="18"/>
      <c r="AI606" s="18"/>
      <c r="AJ606" s="18"/>
      <c r="AK606" s="18"/>
      <c r="AL606" s="18"/>
      <c r="AM606" s="18"/>
      <c r="AN606" s="18"/>
    </row>
    <row r="607" spans="1:40">
      <c r="A607" s="51"/>
      <c r="B607" s="51"/>
      <c r="C607" s="51"/>
      <c r="D607" s="51"/>
      <c r="E607" s="51"/>
      <c r="F607" s="55"/>
      <c r="G607" s="56"/>
      <c r="H607" s="57"/>
      <c r="I607" s="51"/>
      <c r="J607" s="51"/>
      <c r="K607" s="58"/>
      <c r="L607" s="59"/>
      <c r="M607" s="58"/>
      <c r="N607" s="58"/>
      <c r="O607" s="51"/>
      <c r="P607" s="51"/>
      <c r="Q607" s="37"/>
      <c r="R607" s="70"/>
      <c r="S607" s="70"/>
      <c r="T607" s="70"/>
      <c r="U607" s="71"/>
      <c r="V607" s="73"/>
      <c r="W607" s="75"/>
      <c r="X607" s="117"/>
      <c r="Y607" s="111"/>
      <c r="Z607" s="111"/>
      <c r="AH607" s="18"/>
      <c r="AI607" s="18"/>
      <c r="AJ607" s="18"/>
      <c r="AK607" s="18"/>
      <c r="AL607" s="18"/>
      <c r="AM607" s="18"/>
      <c r="AN607" s="18"/>
    </row>
    <row r="608" spans="1:40">
      <c r="A608" s="51"/>
      <c r="B608" s="51"/>
      <c r="C608" s="51"/>
      <c r="D608" s="51"/>
      <c r="E608" s="51"/>
      <c r="F608" s="55"/>
      <c r="G608" s="56"/>
      <c r="H608" s="57"/>
      <c r="I608" s="51"/>
      <c r="J608" s="51"/>
      <c r="K608" s="58"/>
      <c r="L608" s="59"/>
      <c r="M608" s="58"/>
      <c r="N608" s="58"/>
      <c r="O608" s="51"/>
      <c r="P608" s="51"/>
      <c r="Q608" s="37"/>
      <c r="R608" s="70"/>
      <c r="S608" s="70"/>
      <c r="T608" s="70"/>
      <c r="U608" s="71"/>
      <c r="V608" s="73"/>
      <c r="W608" s="75"/>
      <c r="X608" s="117"/>
      <c r="Y608" s="111"/>
      <c r="Z608" s="111"/>
      <c r="AH608" s="18"/>
      <c r="AI608" s="18"/>
      <c r="AJ608" s="18"/>
      <c r="AK608" s="18"/>
      <c r="AL608" s="18"/>
      <c r="AM608" s="18"/>
      <c r="AN608" s="18"/>
    </row>
    <row r="609" spans="1:40">
      <c r="A609" s="51"/>
      <c r="B609" s="51"/>
      <c r="C609" s="51"/>
      <c r="D609" s="51"/>
      <c r="E609" s="51"/>
      <c r="F609" s="55"/>
      <c r="G609" s="56"/>
      <c r="H609" s="57"/>
      <c r="I609" s="51"/>
      <c r="J609" s="51"/>
      <c r="K609" s="58"/>
      <c r="L609" s="59"/>
      <c r="M609" s="58"/>
      <c r="N609" s="58"/>
      <c r="O609" s="51"/>
      <c r="P609" s="51"/>
      <c r="Q609" s="37"/>
      <c r="R609" s="70"/>
      <c r="S609" s="70"/>
      <c r="T609" s="70"/>
      <c r="U609" s="71"/>
      <c r="V609" s="73"/>
      <c r="W609" s="75"/>
      <c r="X609" s="117"/>
      <c r="Y609" s="111"/>
      <c r="Z609" s="111"/>
      <c r="AH609" s="18"/>
      <c r="AI609" s="18"/>
      <c r="AJ609" s="18"/>
      <c r="AK609" s="18"/>
      <c r="AL609" s="18"/>
      <c r="AM609" s="18"/>
      <c r="AN609" s="18"/>
    </row>
    <row r="610" spans="1:40">
      <c r="A610" s="51"/>
      <c r="B610" s="51"/>
      <c r="C610" s="51"/>
      <c r="D610" s="51"/>
      <c r="E610" s="51"/>
      <c r="F610" s="55"/>
      <c r="G610" s="56"/>
      <c r="H610" s="57"/>
      <c r="I610" s="51"/>
      <c r="J610" s="51"/>
      <c r="K610" s="58"/>
      <c r="L610" s="59"/>
      <c r="M610" s="58"/>
      <c r="N610" s="58"/>
      <c r="O610" s="51"/>
      <c r="P610" s="51"/>
      <c r="Q610" s="37"/>
      <c r="R610" s="70"/>
      <c r="S610" s="70"/>
      <c r="T610" s="70"/>
      <c r="U610" s="71"/>
      <c r="V610" s="73"/>
      <c r="W610" s="75"/>
      <c r="X610" s="117"/>
      <c r="Y610" s="111"/>
      <c r="Z610" s="111"/>
      <c r="AH610" s="18"/>
      <c r="AI610" s="18"/>
      <c r="AJ610" s="18"/>
      <c r="AK610" s="18"/>
      <c r="AL610" s="18"/>
      <c r="AM610" s="18"/>
      <c r="AN610" s="18"/>
    </row>
    <row r="611" spans="1:40">
      <c r="A611" s="51"/>
      <c r="B611" s="51"/>
      <c r="C611" s="51"/>
      <c r="D611" s="51"/>
      <c r="E611" s="51"/>
      <c r="F611" s="55"/>
      <c r="G611" s="56"/>
      <c r="H611" s="57"/>
      <c r="I611" s="51"/>
      <c r="J611" s="51"/>
      <c r="K611" s="58"/>
      <c r="L611" s="59"/>
      <c r="M611" s="58"/>
      <c r="N611" s="58"/>
      <c r="O611" s="51"/>
      <c r="P611" s="51"/>
      <c r="Q611" s="37"/>
      <c r="R611" s="70"/>
      <c r="S611" s="70"/>
      <c r="T611" s="70"/>
      <c r="U611" s="71"/>
      <c r="V611" s="73"/>
      <c r="W611" s="75"/>
      <c r="X611" s="117"/>
      <c r="Y611" s="111"/>
      <c r="Z611" s="111"/>
      <c r="AH611" s="18"/>
      <c r="AI611" s="18"/>
      <c r="AJ611" s="18"/>
      <c r="AK611" s="18"/>
      <c r="AL611" s="18"/>
      <c r="AM611" s="18"/>
      <c r="AN611" s="18"/>
    </row>
    <row r="612" spans="1:40">
      <c r="A612" s="51"/>
      <c r="B612" s="51"/>
      <c r="C612" s="51"/>
      <c r="D612" s="51"/>
      <c r="E612" s="51"/>
      <c r="F612" s="55"/>
      <c r="G612" s="56"/>
      <c r="H612" s="57"/>
      <c r="I612" s="51"/>
      <c r="J612" s="51"/>
      <c r="K612" s="58"/>
      <c r="L612" s="59"/>
      <c r="M612" s="58"/>
      <c r="N612" s="58"/>
      <c r="O612" s="51"/>
      <c r="P612" s="51"/>
      <c r="Q612" s="37"/>
      <c r="R612" s="70"/>
      <c r="S612" s="70"/>
      <c r="T612" s="70"/>
      <c r="U612" s="71"/>
      <c r="V612" s="73"/>
      <c r="W612" s="75"/>
      <c r="X612" s="117"/>
      <c r="Y612" s="111"/>
      <c r="Z612" s="111"/>
      <c r="AH612" s="18"/>
      <c r="AI612" s="18"/>
      <c r="AJ612" s="18"/>
      <c r="AK612" s="18"/>
      <c r="AL612" s="18"/>
      <c r="AM612" s="18"/>
      <c r="AN612" s="18"/>
    </row>
    <row r="613" spans="1:40">
      <c r="A613" s="51"/>
      <c r="B613" s="51"/>
      <c r="C613" s="51"/>
      <c r="D613" s="51"/>
      <c r="E613" s="51"/>
      <c r="F613" s="55"/>
      <c r="G613" s="56"/>
      <c r="H613" s="57"/>
      <c r="I613" s="51"/>
      <c r="J613" s="51"/>
      <c r="K613" s="58"/>
      <c r="L613" s="59"/>
      <c r="M613" s="58"/>
      <c r="N613" s="58"/>
      <c r="O613" s="51"/>
      <c r="P613" s="51"/>
      <c r="Q613" s="37"/>
      <c r="R613" s="70"/>
      <c r="S613" s="70"/>
      <c r="T613" s="70"/>
      <c r="U613" s="71"/>
      <c r="V613" s="73"/>
      <c r="W613" s="75"/>
      <c r="X613" s="117"/>
      <c r="Y613" s="111"/>
      <c r="Z613" s="111"/>
      <c r="AH613" s="18"/>
      <c r="AI613" s="18"/>
      <c r="AJ613" s="18"/>
      <c r="AK613" s="18"/>
      <c r="AL613" s="18"/>
      <c r="AM613" s="18"/>
      <c r="AN613" s="18"/>
    </row>
    <row r="614" spans="1:40">
      <c r="A614" s="51"/>
      <c r="B614" s="51"/>
      <c r="C614" s="51"/>
      <c r="D614" s="51"/>
      <c r="E614" s="51"/>
      <c r="F614" s="55"/>
      <c r="G614" s="56"/>
      <c r="H614" s="57"/>
      <c r="I614" s="51"/>
      <c r="J614" s="51"/>
      <c r="K614" s="58"/>
      <c r="L614" s="59"/>
      <c r="M614" s="58"/>
      <c r="N614" s="58"/>
      <c r="O614" s="51"/>
      <c r="P614" s="51"/>
      <c r="Q614" s="37"/>
      <c r="R614" s="70"/>
      <c r="S614" s="70"/>
      <c r="T614" s="70"/>
      <c r="U614" s="71"/>
      <c r="V614" s="73"/>
      <c r="W614" s="75"/>
      <c r="X614" s="117"/>
      <c r="Y614" s="111"/>
      <c r="Z614" s="111"/>
      <c r="AH614" s="18"/>
      <c r="AI614" s="18"/>
      <c r="AJ614" s="18"/>
      <c r="AK614" s="18"/>
      <c r="AL614" s="18"/>
      <c r="AM614" s="18"/>
      <c r="AN614" s="18"/>
    </row>
    <row r="615" spans="1:40">
      <c r="A615" s="51"/>
      <c r="B615" s="51"/>
      <c r="C615" s="51"/>
      <c r="D615" s="51"/>
      <c r="E615" s="51"/>
      <c r="F615" s="55"/>
      <c r="G615" s="56"/>
      <c r="H615" s="57"/>
      <c r="I615" s="51"/>
      <c r="J615" s="51"/>
      <c r="K615" s="58"/>
      <c r="L615" s="59"/>
      <c r="M615" s="58"/>
      <c r="N615" s="58"/>
      <c r="O615" s="51"/>
      <c r="P615" s="51"/>
      <c r="Q615" s="37"/>
      <c r="R615" s="70"/>
      <c r="S615" s="70"/>
      <c r="T615" s="70"/>
      <c r="U615" s="71"/>
      <c r="V615" s="73"/>
      <c r="W615" s="75"/>
      <c r="X615" s="117"/>
      <c r="Y615" s="111"/>
      <c r="Z615" s="111"/>
      <c r="AH615" s="18"/>
      <c r="AI615" s="18"/>
      <c r="AJ615" s="18"/>
      <c r="AK615" s="18"/>
      <c r="AL615" s="18"/>
      <c r="AM615" s="18"/>
      <c r="AN615" s="18"/>
    </row>
    <row r="616" spans="1:40">
      <c r="A616" s="51"/>
      <c r="B616" s="51"/>
      <c r="C616" s="51"/>
      <c r="D616" s="51"/>
      <c r="E616" s="51"/>
      <c r="F616" s="55"/>
      <c r="G616" s="56"/>
      <c r="H616" s="57"/>
      <c r="I616" s="51"/>
      <c r="J616" s="51"/>
      <c r="K616" s="58"/>
      <c r="L616" s="59"/>
      <c r="M616" s="58"/>
      <c r="N616" s="58"/>
      <c r="O616" s="51"/>
      <c r="P616" s="51"/>
      <c r="Q616" s="37"/>
      <c r="R616" s="70"/>
      <c r="S616" s="70"/>
      <c r="T616" s="70"/>
      <c r="U616" s="71"/>
      <c r="V616" s="73"/>
      <c r="W616" s="75"/>
      <c r="X616" s="117"/>
      <c r="Y616" s="111"/>
      <c r="Z616" s="111"/>
      <c r="AH616" s="18"/>
      <c r="AI616" s="18"/>
      <c r="AJ616" s="18"/>
      <c r="AK616" s="18"/>
      <c r="AL616" s="18"/>
      <c r="AM616" s="18"/>
      <c r="AN616" s="18"/>
    </row>
    <row r="617" spans="1:40">
      <c r="A617" s="51"/>
      <c r="B617" s="51"/>
      <c r="C617" s="51"/>
      <c r="D617" s="51"/>
      <c r="E617" s="51"/>
      <c r="F617" s="55"/>
      <c r="G617" s="56"/>
      <c r="H617" s="57"/>
      <c r="I617" s="51"/>
      <c r="J617" s="51"/>
      <c r="K617" s="58"/>
      <c r="L617" s="59"/>
      <c r="M617" s="58"/>
      <c r="N617" s="58"/>
      <c r="O617" s="51"/>
      <c r="P617" s="51"/>
      <c r="Q617" s="37"/>
      <c r="R617" s="70"/>
      <c r="S617" s="70"/>
      <c r="T617" s="70"/>
      <c r="U617" s="71"/>
      <c r="V617" s="73"/>
      <c r="W617" s="75"/>
      <c r="X617" s="117"/>
      <c r="Y617" s="111"/>
      <c r="Z617" s="111"/>
      <c r="AH617" s="18"/>
      <c r="AI617" s="18"/>
      <c r="AJ617" s="18"/>
      <c r="AK617" s="18"/>
      <c r="AL617" s="18"/>
      <c r="AM617" s="18"/>
      <c r="AN617" s="18"/>
    </row>
    <row r="618" spans="1:40">
      <c r="A618" s="51"/>
      <c r="B618" s="51"/>
      <c r="C618" s="51"/>
      <c r="D618" s="51"/>
      <c r="E618" s="51"/>
      <c r="F618" s="55"/>
      <c r="G618" s="56"/>
      <c r="H618" s="57"/>
      <c r="I618" s="51"/>
      <c r="J618" s="51"/>
      <c r="K618" s="58"/>
      <c r="L618" s="59"/>
      <c r="M618" s="58"/>
      <c r="N618" s="58"/>
      <c r="O618" s="51"/>
      <c r="P618" s="51"/>
      <c r="Q618" s="37"/>
      <c r="R618" s="70"/>
      <c r="S618" s="70"/>
      <c r="T618" s="70"/>
      <c r="U618" s="71"/>
      <c r="V618" s="73"/>
      <c r="W618" s="75"/>
      <c r="X618" s="117"/>
      <c r="Y618" s="111"/>
      <c r="Z618" s="111"/>
      <c r="AH618" s="18"/>
      <c r="AI618" s="18"/>
      <c r="AJ618" s="18"/>
      <c r="AK618" s="18"/>
      <c r="AL618" s="18"/>
      <c r="AM618" s="18"/>
      <c r="AN618" s="18"/>
    </row>
    <row r="619" spans="1:40">
      <c r="A619" s="51"/>
      <c r="B619" s="51"/>
      <c r="C619" s="51"/>
      <c r="D619" s="51"/>
      <c r="E619" s="51"/>
      <c r="F619" s="55"/>
      <c r="G619" s="56"/>
      <c r="H619" s="57"/>
      <c r="I619" s="51"/>
      <c r="J619" s="51"/>
      <c r="K619" s="58"/>
      <c r="L619" s="59"/>
      <c r="M619" s="58"/>
      <c r="N619" s="58"/>
      <c r="O619" s="51"/>
      <c r="P619" s="51"/>
      <c r="Q619" s="37"/>
      <c r="R619" s="70"/>
      <c r="S619" s="70"/>
      <c r="T619" s="70"/>
      <c r="U619" s="71"/>
      <c r="V619" s="73"/>
      <c r="W619" s="75"/>
      <c r="X619" s="117"/>
      <c r="Y619" s="111"/>
      <c r="Z619" s="111"/>
      <c r="AH619" s="18"/>
      <c r="AI619" s="18"/>
      <c r="AJ619" s="18"/>
      <c r="AK619" s="18"/>
      <c r="AL619" s="18"/>
      <c r="AM619" s="18"/>
      <c r="AN619" s="18"/>
    </row>
    <row r="620" spans="1:40">
      <c r="A620" s="51"/>
      <c r="B620" s="51"/>
      <c r="C620" s="51"/>
      <c r="D620" s="51"/>
      <c r="E620" s="51"/>
      <c r="F620" s="55"/>
      <c r="G620" s="56"/>
      <c r="H620" s="57"/>
      <c r="I620" s="51"/>
      <c r="J620" s="51"/>
      <c r="K620" s="58"/>
      <c r="L620" s="59"/>
      <c r="M620" s="58"/>
      <c r="N620" s="58"/>
      <c r="O620" s="51"/>
      <c r="P620" s="51"/>
      <c r="Q620" s="37"/>
      <c r="R620" s="70"/>
      <c r="S620" s="70"/>
      <c r="T620" s="70"/>
      <c r="U620" s="71"/>
      <c r="V620" s="73"/>
      <c r="W620" s="75"/>
      <c r="X620" s="117"/>
      <c r="Y620" s="111"/>
      <c r="Z620" s="111"/>
      <c r="AH620" s="18"/>
      <c r="AI620" s="18"/>
      <c r="AJ620" s="18"/>
      <c r="AK620" s="18"/>
      <c r="AL620" s="18"/>
      <c r="AM620" s="18"/>
      <c r="AN620" s="18"/>
    </row>
    <row r="621" spans="1:40">
      <c r="A621" s="51"/>
      <c r="B621" s="51"/>
      <c r="C621" s="51"/>
      <c r="D621" s="51"/>
      <c r="E621" s="51"/>
      <c r="F621" s="55"/>
      <c r="G621" s="56"/>
      <c r="H621" s="57"/>
      <c r="I621" s="51"/>
      <c r="J621" s="51"/>
      <c r="K621" s="58"/>
      <c r="L621" s="59"/>
      <c r="M621" s="58"/>
      <c r="N621" s="58"/>
      <c r="O621" s="51"/>
      <c r="P621" s="51"/>
      <c r="Q621" s="37"/>
      <c r="R621" s="70"/>
      <c r="S621" s="70"/>
      <c r="T621" s="70"/>
      <c r="U621" s="71"/>
      <c r="V621" s="73"/>
      <c r="W621" s="75"/>
      <c r="X621" s="117"/>
      <c r="Y621" s="111"/>
      <c r="Z621" s="111"/>
      <c r="AH621" s="18"/>
      <c r="AI621" s="18"/>
      <c r="AJ621" s="18"/>
      <c r="AK621" s="18"/>
      <c r="AL621" s="18"/>
      <c r="AM621" s="18"/>
      <c r="AN621" s="18"/>
    </row>
    <row r="622" spans="1:40">
      <c r="A622" s="51"/>
      <c r="B622" s="51"/>
      <c r="C622" s="51"/>
      <c r="D622" s="51"/>
      <c r="E622" s="51"/>
      <c r="F622" s="55"/>
      <c r="G622" s="56"/>
      <c r="H622" s="57"/>
      <c r="I622" s="51"/>
      <c r="J622" s="51"/>
      <c r="K622" s="58"/>
      <c r="L622" s="59"/>
      <c r="M622" s="58"/>
      <c r="N622" s="58"/>
      <c r="O622" s="51"/>
      <c r="P622" s="51"/>
      <c r="Q622" s="37"/>
      <c r="R622" s="70"/>
      <c r="S622" s="70"/>
      <c r="T622" s="70"/>
      <c r="U622" s="71"/>
      <c r="V622" s="73"/>
      <c r="W622" s="75"/>
      <c r="X622" s="117"/>
      <c r="Y622" s="111"/>
      <c r="Z622" s="111"/>
      <c r="AH622" s="18"/>
      <c r="AI622" s="18"/>
      <c r="AJ622" s="18"/>
      <c r="AK622" s="18"/>
      <c r="AL622" s="18"/>
      <c r="AM622" s="18"/>
      <c r="AN622" s="18"/>
    </row>
    <row r="623" spans="1:40">
      <c r="A623" s="51"/>
      <c r="B623" s="51"/>
      <c r="C623" s="51"/>
      <c r="D623" s="51"/>
      <c r="E623" s="51"/>
      <c r="F623" s="55"/>
      <c r="G623" s="56"/>
      <c r="H623" s="57"/>
      <c r="I623" s="51"/>
      <c r="J623" s="51"/>
      <c r="K623" s="58"/>
      <c r="L623" s="59"/>
      <c r="M623" s="58"/>
      <c r="N623" s="58"/>
      <c r="O623" s="51"/>
      <c r="P623" s="51"/>
      <c r="Q623" s="37"/>
      <c r="R623" s="70"/>
      <c r="S623" s="70"/>
      <c r="T623" s="70"/>
      <c r="U623" s="71"/>
      <c r="V623" s="73"/>
      <c r="W623" s="75"/>
      <c r="X623" s="117"/>
      <c r="Y623" s="111"/>
      <c r="Z623" s="111"/>
      <c r="AH623" s="18"/>
      <c r="AI623" s="18"/>
      <c r="AJ623" s="18"/>
      <c r="AK623" s="18"/>
      <c r="AL623" s="18"/>
      <c r="AM623" s="18"/>
      <c r="AN623" s="18"/>
    </row>
    <row r="624" spans="1:40">
      <c r="A624" s="51"/>
      <c r="B624" s="51"/>
      <c r="C624" s="51"/>
      <c r="D624" s="51"/>
      <c r="E624" s="51"/>
      <c r="F624" s="55"/>
      <c r="G624" s="56"/>
      <c r="H624" s="57"/>
      <c r="I624" s="51"/>
      <c r="J624" s="51"/>
      <c r="K624" s="58"/>
      <c r="L624" s="59"/>
      <c r="M624" s="58"/>
      <c r="N624" s="58"/>
      <c r="O624" s="51"/>
      <c r="P624" s="51"/>
      <c r="Q624" s="37"/>
      <c r="R624" s="70"/>
      <c r="S624" s="70"/>
      <c r="T624" s="70"/>
      <c r="U624" s="71"/>
      <c r="V624" s="73"/>
      <c r="W624" s="75"/>
      <c r="X624" s="117"/>
      <c r="Y624" s="111"/>
      <c r="Z624" s="111"/>
      <c r="AH624" s="18"/>
      <c r="AI624" s="18"/>
      <c r="AJ624" s="18"/>
      <c r="AK624" s="18"/>
      <c r="AL624" s="18"/>
      <c r="AM624" s="18"/>
      <c r="AN624" s="18"/>
    </row>
    <row r="625" spans="1:40">
      <c r="A625" s="51"/>
      <c r="B625" s="51"/>
      <c r="C625" s="51"/>
      <c r="D625" s="51"/>
      <c r="E625" s="51"/>
      <c r="F625" s="55"/>
      <c r="G625" s="56"/>
      <c r="H625" s="57"/>
      <c r="I625" s="51"/>
      <c r="J625" s="51"/>
      <c r="K625" s="58"/>
      <c r="L625" s="59"/>
      <c r="M625" s="58"/>
      <c r="N625" s="58"/>
      <c r="O625" s="51"/>
      <c r="P625" s="51"/>
      <c r="Q625" s="37"/>
      <c r="R625" s="70"/>
      <c r="S625" s="70"/>
      <c r="T625" s="70"/>
      <c r="U625" s="71"/>
      <c r="V625" s="73"/>
      <c r="W625" s="75"/>
      <c r="X625" s="117"/>
      <c r="Y625" s="111"/>
      <c r="Z625" s="111"/>
      <c r="AH625" s="18"/>
      <c r="AI625" s="18"/>
      <c r="AJ625" s="18"/>
      <c r="AK625" s="18"/>
      <c r="AL625" s="18"/>
      <c r="AM625" s="18"/>
      <c r="AN625" s="18"/>
    </row>
    <row r="626" spans="1:40">
      <c r="A626" s="51"/>
      <c r="B626" s="51"/>
      <c r="C626" s="51"/>
      <c r="D626" s="51"/>
      <c r="E626" s="51"/>
      <c r="F626" s="55"/>
      <c r="G626" s="56"/>
      <c r="H626" s="57"/>
      <c r="I626" s="51"/>
      <c r="J626" s="51"/>
      <c r="K626" s="58"/>
      <c r="L626" s="59"/>
      <c r="M626" s="58"/>
      <c r="N626" s="58"/>
      <c r="O626" s="51"/>
      <c r="P626" s="51"/>
      <c r="Q626" s="37"/>
      <c r="R626" s="70"/>
      <c r="S626" s="70"/>
      <c r="T626" s="70"/>
      <c r="U626" s="71"/>
      <c r="V626" s="73"/>
      <c r="W626" s="75"/>
      <c r="X626" s="117"/>
      <c r="Y626" s="111"/>
      <c r="Z626" s="111"/>
      <c r="AH626" s="18"/>
      <c r="AI626" s="18"/>
      <c r="AJ626" s="18"/>
      <c r="AK626" s="18"/>
      <c r="AL626" s="18"/>
      <c r="AM626" s="18"/>
      <c r="AN626" s="18"/>
    </row>
    <row r="627" spans="1:40">
      <c r="A627" s="51"/>
      <c r="B627" s="51"/>
      <c r="C627" s="51"/>
      <c r="D627" s="51"/>
      <c r="E627" s="51"/>
      <c r="F627" s="55"/>
      <c r="G627" s="56"/>
      <c r="H627" s="57"/>
      <c r="I627" s="51"/>
      <c r="J627" s="51"/>
      <c r="K627" s="58"/>
      <c r="L627" s="59"/>
      <c r="M627" s="58"/>
      <c r="N627" s="58"/>
      <c r="O627" s="51"/>
      <c r="P627" s="51"/>
      <c r="Q627" s="37"/>
      <c r="R627" s="70"/>
      <c r="S627" s="70"/>
      <c r="T627" s="70"/>
      <c r="U627" s="71"/>
      <c r="V627" s="73"/>
      <c r="W627" s="75"/>
      <c r="X627" s="117"/>
      <c r="Y627" s="111"/>
      <c r="Z627" s="111"/>
      <c r="AH627" s="18"/>
      <c r="AI627" s="18"/>
      <c r="AJ627" s="18"/>
      <c r="AK627" s="18"/>
      <c r="AL627" s="18"/>
      <c r="AM627" s="18"/>
      <c r="AN627" s="18"/>
    </row>
    <row r="628" spans="1:40">
      <c r="A628" s="51"/>
      <c r="B628" s="51"/>
      <c r="C628" s="51"/>
      <c r="D628" s="51"/>
      <c r="E628" s="51"/>
      <c r="F628" s="55"/>
      <c r="G628" s="56"/>
      <c r="H628" s="57"/>
      <c r="I628" s="51"/>
      <c r="J628" s="51"/>
      <c r="K628" s="58"/>
      <c r="L628" s="59"/>
      <c r="M628" s="58"/>
      <c r="N628" s="58"/>
      <c r="O628" s="51"/>
      <c r="P628" s="51"/>
      <c r="Q628" s="37"/>
      <c r="R628" s="70"/>
      <c r="S628" s="70"/>
      <c r="T628" s="70"/>
      <c r="U628" s="71"/>
      <c r="V628" s="73"/>
      <c r="W628" s="75"/>
      <c r="X628" s="117"/>
      <c r="Y628" s="111"/>
      <c r="Z628" s="111"/>
      <c r="AH628" s="18"/>
      <c r="AI628" s="18"/>
      <c r="AJ628" s="18"/>
      <c r="AK628" s="18"/>
      <c r="AL628" s="18"/>
      <c r="AM628" s="18"/>
      <c r="AN628" s="18"/>
    </row>
    <row r="629" spans="1:40">
      <c r="A629" s="51"/>
      <c r="B629" s="51"/>
      <c r="C629" s="51"/>
      <c r="D629" s="51"/>
      <c r="E629" s="51"/>
      <c r="F629" s="55"/>
      <c r="G629" s="56"/>
      <c r="H629" s="57"/>
      <c r="I629" s="51"/>
      <c r="J629" s="51"/>
      <c r="K629" s="58"/>
      <c r="L629" s="59"/>
      <c r="M629" s="58"/>
      <c r="N629" s="58"/>
      <c r="O629" s="51"/>
      <c r="P629" s="51"/>
      <c r="Q629" s="37"/>
      <c r="R629" s="70"/>
      <c r="S629" s="70"/>
      <c r="T629" s="70"/>
      <c r="U629" s="71"/>
      <c r="V629" s="73"/>
      <c r="W629" s="75"/>
      <c r="X629" s="117"/>
      <c r="Y629" s="111"/>
      <c r="Z629" s="111"/>
      <c r="AH629" s="18"/>
      <c r="AI629" s="18"/>
      <c r="AJ629" s="18"/>
      <c r="AK629" s="18"/>
      <c r="AL629" s="18"/>
      <c r="AM629" s="18"/>
      <c r="AN629" s="18"/>
    </row>
    <row r="630" spans="1:40">
      <c r="A630" s="51"/>
      <c r="B630" s="51"/>
      <c r="C630" s="51"/>
      <c r="D630" s="51"/>
      <c r="E630" s="51"/>
      <c r="F630" s="55"/>
      <c r="G630" s="56"/>
      <c r="H630" s="57"/>
      <c r="I630" s="51"/>
      <c r="J630" s="51"/>
      <c r="K630" s="58"/>
      <c r="L630" s="59"/>
      <c r="M630" s="58"/>
      <c r="N630" s="58"/>
      <c r="O630" s="51"/>
      <c r="P630" s="51"/>
      <c r="Q630" s="37"/>
      <c r="R630" s="70"/>
      <c r="S630" s="70"/>
      <c r="T630" s="70"/>
      <c r="U630" s="71"/>
      <c r="V630" s="73"/>
      <c r="W630" s="75"/>
      <c r="X630" s="117"/>
      <c r="Y630" s="111"/>
      <c r="Z630" s="111"/>
      <c r="AH630" s="18"/>
      <c r="AI630" s="18"/>
      <c r="AJ630" s="18"/>
      <c r="AK630" s="18"/>
      <c r="AL630" s="18"/>
      <c r="AM630" s="18"/>
      <c r="AN630" s="18"/>
    </row>
    <row r="631" spans="1:40">
      <c r="A631" s="51"/>
      <c r="B631" s="51"/>
      <c r="C631" s="51"/>
      <c r="D631" s="51"/>
      <c r="E631" s="51"/>
      <c r="F631" s="55"/>
      <c r="G631" s="56"/>
      <c r="H631" s="57"/>
      <c r="I631" s="51"/>
      <c r="J631" s="51"/>
      <c r="K631" s="58"/>
      <c r="L631" s="59"/>
      <c r="M631" s="58"/>
      <c r="N631" s="58"/>
      <c r="O631" s="51"/>
      <c r="P631" s="51"/>
      <c r="Q631" s="37"/>
      <c r="R631" s="70"/>
      <c r="S631" s="70"/>
      <c r="T631" s="70"/>
      <c r="U631" s="71"/>
      <c r="V631" s="73"/>
      <c r="W631" s="75"/>
      <c r="X631" s="117"/>
      <c r="Y631" s="111"/>
      <c r="Z631" s="111"/>
      <c r="AH631" s="18"/>
      <c r="AI631" s="18"/>
      <c r="AJ631" s="18"/>
      <c r="AK631" s="18"/>
      <c r="AL631" s="18"/>
      <c r="AM631" s="18"/>
      <c r="AN631" s="18"/>
    </row>
    <row r="632" spans="1:40">
      <c r="A632" s="51"/>
      <c r="B632" s="51"/>
      <c r="C632" s="51"/>
      <c r="D632" s="51"/>
      <c r="E632" s="51"/>
      <c r="F632" s="55"/>
      <c r="G632" s="56"/>
      <c r="H632" s="57"/>
      <c r="I632" s="51"/>
      <c r="J632" s="51"/>
      <c r="K632" s="58"/>
      <c r="L632" s="59"/>
      <c r="M632" s="58"/>
      <c r="N632" s="58"/>
      <c r="O632" s="51"/>
      <c r="P632" s="51"/>
      <c r="Q632" s="37"/>
      <c r="R632" s="70"/>
      <c r="S632" s="70"/>
      <c r="T632" s="70"/>
      <c r="U632" s="71"/>
      <c r="V632" s="73"/>
      <c r="W632" s="75"/>
      <c r="X632" s="117"/>
      <c r="Y632" s="111"/>
      <c r="Z632" s="111"/>
      <c r="AH632" s="18"/>
      <c r="AI632" s="18"/>
      <c r="AJ632" s="18"/>
      <c r="AK632" s="18"/>
      <c r="AL632" s="18"/>
      <c r="AM632" s="18"/>
      <c r="AN632" s="18"/>
    </row>
    <row r="633" spans="1:40">
      <c r="A633" s="51"/>
      <c r="B633" s="51"/>
      <c r="C633" s="51"/>
      <c r="D633" s="51"/>
      <c r="E633" s="51"/>
      <c r="F633" s="55"/>
      <c r="G633" s="56"/>
      <c r="H633" s="57"/>
      <c r="I633" s="51"/>
      <c r="J633" s="51"/>
      <c r="K633" s="58"/>
      <c r="L633" s="59"/>
      <c r="M633" s="58"/>
      <c r="N633" s="58"/>
      <c r="O633" s="51"/>
      <c r="P633" s="51"/>
      <c r="Q633" s="37"/>
      <c r="R633" s="70"/>
      <c r="S633" s="70"/>
      <c r="T633" s="70"/>
      <c r="U633" s="71"/>
      <c r="V633" s="73"/>
      <c r="W633" s="75"/>
      <c r="X633" s="117"/>
      <c r="Y633" s="111"/>
      <c r="Z633" s="111"/>
      <c r="AH633" s="18"/>
      <c r="AI633" s="18"/>
      <c r="AJ633" s="18"/>
      <c r="AK633" s="18"/>
      <c r="AL633" s="18"/>
      <c r="AM633" s="18"/>
      <c r="AN633" s="18"/>
    </row>
    <row r="634" spans="1:40">
      <c r="A634" s="51"/>
      <c r="B634" s="51"/>
      <c r="C634" s="51"/>
      <c r="D634" s="51"/>
      <c r="E634" s="51"/>
      <c r="F634" s="55"/>
      <c r="G634" s="56"/>
      <c r="H634" s="57"/>
      <c r="I634" s="51"/>
      <c r="J634" s="51"/>
      <c r="K634" s="58"/>
      <c r="L634" s="59"/>
      <c r="M634" s="58"/>
      <c r="N634" s="58"/>
      <c r="O634" s="51"/>
      <c r="P634" s="51"/>
      <c r="Q634" s="37"/>
      <c r="R634" s="70"/>
      <c r="S634" s="70"/>
      <c r="T634" s="70"/>
      <c r="U634" s="71"/>
      <c r="V634" s="73"/>
      <c r="W634" s="75"/>
      <c r="X634" s="117"/>
      <c r="Y634" s="111"/>
      <c r="Z634" s="111"/>
      <c r="AH634" s="18"/>
      <c r="AI634" s="18"/>
      <c r="AJ634" s="18"/>
      <c r="AK634" s="18"/>
      <c r="AL634" s="18"/>
      <c r="AM634" s="18"/>
      <c r="AN634" s="18"/>
    </row>
    <row r="635" spans="1:40">
      <c r="A635" s="51"/>
      <c r="B635" s="51"/>
      <c r="C635" s="51"/>
      <c r="D635" s="51"/>
      <c r="E635" s="51"/>
      <c r="F635" s="55"/>
      <c r="G635" s="56"/>
      <c r="H635" s="57"/>
      <c r="I635" s="51"/>
      <c r="J635" s="51"/>
      <c r="K635" s="58"/>
      <c r="L635" s="59"/>
      <c r="M635" s="58"/>
      <c r="N635" s="58"/>
      <c r="O635" s="51"/>
      <c r="P635" s="51"/>
      <c r="Q635" s="37"/>
      <c r="R635" s="70"/>
      <c r="S635" s="70"/>
      <c r="T635" s="70"/>
      <c r="U635" s="71"/>
      <c r="V635" s="73"/>
      <c r="W635" s="75"/>
      <c r="X635" s="117"/>
      <c r="Y635" s="111"/>
      <c r="Z635" s="111"/>
      <c r="AH635" s="18"/>
      <c r="AI635" s="18"/>
      <c r="AJ635" s="18"/>
      <c r="AK635" s="18"/>
      <c r="AL635" s="18"/>
      <c r="AM635" s="18"/>
      <c r="AN635" s="18"/>
    </row>
    <row r="636" spans="1:40">
      <c r="A636" s="51"/>
      <c r="B636" s="51"/>
      <c r="C636" s="51"/>
      <c r="D636" s="51"/>
      <c r="E636" s="51"/>
      <c r="F636" s="55"/>
      <c r="G636" s="56"/>
      <c r="H636" s="57"/>
      <c r="I636" s="51"/>
      <c r="J636" s="51"/>
      <c r="K636" s="58"/>
      <c r="L636" s="59"/>
      <c r="M636" s="58"/>
      <c r="N636" s="58"/>
      <c r="O636" s="51"/>
      <c r="P636" s="51"/>
      <c r="Q636" s="37"/>
      <c r="R636" s="70"/>
      <c r="S636" s="70"/>
      <c r="T636" s="70"/>
      <c r="U636" s="71"/>
      <c r="V636" s="73"/>
      <c r="W636" s="75"/>
      <c r="X636" s="117"/>
      <c r="Y636" s="111"/>
      <c r="Z636" s="111"/>
      <c r="AH636" s="18"/>
      <c r="AI636" s="18"/>
      <c r="AJ636" s="18"/>
      <c r="AK636" s="18"/>
      <c r="AL636" s="18"/>
      <c r="AM636" s="18"/>
      <c r="AN636" s="18"/>
    </row>
    <row r="637" spans="1:40">
      <c r="A637" s="51"/>
      <c r="B637" s="51"/>
      <c r="C637" s="51"/>
      <c r="D637" s="51"/>
      <c r="E637" s="51"/>
      <c r="F637" s="55"/>
      <c r="G637" s="56"/>
      <c r="H637" s="57"/>
      <c r="I637" s="51"/>
      <c r="J637" s="51"/>
      <c r="K637" s="58"/>
      <c r="L637" s="59"/>
      <c r="M637" s="58"/>
      <c r="N637" s="58"/>
      <c r="O637" s="51"/>
      <c r="P637" s="51"/>
      <c r="Q637" s="37"/>
      <c r="R637" s="70"/>
      <c r="S637" s="70"/>
      <c r="T637" s="70"/>
      <c r="U637" s="71"/>
      <c r="V637" s="73"/>
      <c r="W637" s="75"/>
      <c r="X637" s="117"/>
      <c r="Y637" s="111"/>
      <c r="Z637" s="111"/>
      <c r="AH637" s="18"/>
      <c r="AI637" s="18"/>
      <c r="AJ637" s="18"/>
      <c r="AK637" s="18"/>
      <c r="AL637" s="18"/>
      <c r="AM637" s="18"/>
      <c r="AN637" s="18"/>
    </row>
    <row r="638" spans="1:40">
      <c r="A638" s="51"/>
      <c r="B638" s="51"/>
      <c r="C638" s="51"/>
      <c r="D638" s="51"/>
      <c r="E638" s="51"/>
      <c r="F638" s="55"/>
      <c r="G638" s="56"/>
      <c r="H638" s="57"/>
      <c r="I638" s="51"/>
      <c r="J638" s="51"/>
      <c r="K638" s="58"/>
      <c r="L638" s="59"/>
      <c r="M638" s="58"/>
      <c r="N638" s="58"/>
      <c r="O638" s="51"/>
      <c r="P638" s="51"/>
      <c r="Q638" s="37"/>
      <c r="R638" s="70"/>
      <c r="S638" s="70"/>
      <c r="T638" s="70"/>
      <c r="U638" s="71"/>
      <c r="V638" s="73"/>
      <c r="W638" s="75"/>
      <c r="X638" s="117"/>
      <c r="Y638" s="111"/>
      <c r="Z638" s="111"/>
      <c r="AH638" s="18"/>
      <c r="AI638" s="18"/>
      <c r="AJ638" s="18"/>
      <c r="AK638" s="18"/>
      <c r="AL638" s="18"/>
      <c r="AM638" s="18"/>
      <c r="AN638" s="18"/>
    </row>
    <row r="639" spans="1:40">
      <c r="A639" s="51"/>
      <c r="B639" s="51"/>
      <c r="C639" s="51"/>
      <c r="D639" s="51"/>
      <c r="E639" s="51"/>
      <c r="F639" s="55"/>
      <c r="G639" s="56"/>
      <c r="H639" s="57"/>
      <c r="I639" s="51"/>
      <c r="J639" s="51"/>
      <c r="K639" s="58"/>
      <c r="L639" s="59"/>
      <c r="M639" s="58"/>
      <c r="N639" s="58"/>
      <c r="O639" s="51"/>
      <c r="P639" s="51"/>
      <c r="Q639" s="37"/>
      <c r="R639" s="70"/>
      <c r="S639" s="70"/>
      <c r="T639" s="70"/>
      <c r="U639" s="71"/>
      <c r="V639" s="73"/>
      <c r="W639" s="75"/>
      <c r="X639" s="117"/>
      <c r="Y639" s="111"/>
      <c r="Z639" s="111"/>
      <c r="AH639" s="18"/>
      <c r="AI639" s="18"/>
      <c r="AJ639" s="18"/>
      <c r="AK639" s="18"/>
      <c r="AL639" s="18"/>
      <c r="AM639" s="18"/>
      <c r="AN639" s="18"/>
    </row>
    <row r="640" spans="1:40">
      <c r="A640" s="51"/>
      <c r="B640" s="51"/>
      <c r="C640" s="51"/>
      <c r="D640" s="51"/>
      <c r="E640" s="51"/>
      <c r="F640" s="55"/>
      <c r="G640" s="56"/>
      <c r="H640" s="57"/>
      <c r="I640" s="51"/>
      <c r="J640" s="51"/>
      <c r="K640" s="58"/>
      <c r="L640" s="59"/>
      <c r="M640" s="58"/>
      <c r="N640" s="58"/>
      <c r="O640" s="51"/>
      <c r="P640" s="51"/>
      <c r="Q640" s="37"/>
      <c r="R640" s="70"/>
      <c r="S640" s="70"/>
      <c r="T640" s="70"/>
      <c r="U640" s="71"/>
      <c r="V640" s="73"/>
      <c r="W640" s="75"/>
      <c r="X640" s="117"/>
      <c r="Y640" s="111"/>
      <c r="Z640" s="111"/>
      <c r="AH640" s="18"/>
      <c r="AI640" s="18"/>
      <c r="AJ640" s="18"/>
      <c r="AK640" s="18"/>
      <c r="AL640" s="18"/>
      <c r="AM640" s="18"/>
      <c r="AN640" s="18"/>
    </row>
    <row r="641" spans="1:40">
      <c r="A641" s="51"/>
      <c r="B641" s="51"/>
      <c r="C641" s="51"/>
      <c r="D641" s="51"/>
      <c r="E641" s="51"/>
      <c r="F641" s="55"/>
      <c r="G641" s="56"/>
      <c r="H641" s="57"/>
      <c r="I641" s="51"/>
      <c r="J641" s="51"/>
      <c r="K641" s="58"/>
      <c r="L641" s="59"/>
      <c r="M641" s="58"/>
      <c r="N641" s="58"/>
      <c r="O641" s="51"/>
      <c r="P641" s="51"/>
      <c r="Q641" s="37"/>
      <c r="R641" s="70"/>
      <c r="S641" s="70"/>
      <c r="T641" s="70"/>
      <c r="U641" s="71"/>
      <c r="V641" s="73"/>
      <c r="W641" s="75"/>
      <c r="X641" s="117"/>
      <c r="Y641" s="111"/>
      <c r="Z641" s="111"/>
      <c r="AH641" s="18"/>
      <c r="AI641" s="18"/>
      <c r="AJ641" s="18"/>
      <c r="AK641" s="18"/>
      <c r="AL641" s="18"/>
      <c r="AM641" s="18"/>
      <c r="AN641" s="18"/>
    </row>
    <row r="642" spans="1:40">
      <c r="A642" s="51"/>
      <c r="B642" s="51"/>
      <c r="C642" s="51"/>
      <c r="D642" s="51"/>
      <c r="E642" s="51"/>
      <c r="F642" s="55"/>
      <c r="G642" s="56"/>
      <c r="H642" s="57"/>
      <c r="I642" s="51"/>
      <c r="J642" s="51"/>
      <c r="K642" s="58"/>
      <c r="L642" s="59"/>
      <c r="M642" s="58"/>
      <c r="N642" s="58"/>
      <c r="O642" s="51"/>
      <c r="P642" s="51"/>
      <c r="Q642" s="37"/>
      <c r="R642" s="70"/>
      <c r="S642" s="70"/>
      <c r="T642" s="70"/>
      <c r="U642" s="71"/>
      <c r="V642" s="73"/>
      <c r="W642" s="75"/>
      <c r="X642" s="117"/>
      <c r="Y642" s="111"/>
      <c r="Z642" s="111"/>
      <c r="AH642" s="18"/>
      <c r="AI642" s="18"/>
      <c r="AJ642" s="18"/>
      <c r="AK642" s="18"/>
      <c r="AL642" s="18"/>
      <c r="AM642" s="18"/>
      <c r="AN642" s="18"/>
    </row>
    <row r="643" spans="1:40">
      <c r="A643" s="51"/>
      <c r="B643" s="51"/>
      <c r="C643" s="51"/>
      <c r="D643" s="51"/>
      <c r="E643" s="51"/>
      <c r="F643" s="55"/>
      <c r="G643" s="56"/>
      <c r="H643" s="57"/>
      <c r="I643" s="51"/>
      <c r="J643" s="51"/>
      <c r="K643" s="58"/>
      <c r="L643" s="59"/>
      <c r="M643" s="58"/>
      <c r="N643" s="58"/>
      <c r="O643" s="51"/>
      <c r="P643" s="51"/>
      <c r="Q643" s="37"/>
      <c r="R643" s="70"/>
      <c r="S643" s="70"/>
      <c r="T643" s="70"/>
      <c r="U643" s="71"/>
      <c r="V643" s="73"/>
      <c r="W643" s="75"/>
      <c r="X643" s="117"/>
      <c r="Y643" s="111"/>
      <c r="Z643" s="111"/>
      <c r="AH643" s="18"/>
      <c r="AI643" s="18"/>
      <c r="AJ643" s="18"/>
      <c r="AK643" s="18"/>
      <c r="AL643" s="18"/>
      <c r="AM643" s="18"/>
      <c r="AN643" s="18"/>
    </row>
    <row r="644" spans="1:40">
      <c r="A644" s="51"/>
      <c r="B644" s="51"/>
      <c r="C644" s="51"/>
      <c r="D644" s="51"/>
      <c r="E644" s="51"/>
      <c r="F644" s="55"/>
      <c r="G644" s="56"/>
      <c r="H644" s="57"/>
      <c r="I644" s="51"/>
      <c r="J644" s="51"/>
      <c r="K644" s="58"/>
      <c r="L644" s="59"/>
      <c r="M644" s="58"/>
      <c r="N644" s="58"/>
      <c r="O644" s="51"/>
      <c r="P644" s="51"/>
      <c r="Q644" s="37"/>
      <c r="R644" s="70"/>
      <c r="S644" s="70"/>
      <c r="T644" s="70"/>
      <c r="U644" s="71"/>
      <c r="V644" s="73"/>
      <c r="W644" s="75"/>
      <c r="X644" s="117"/>
      <c r="Y644" s="111"/>
      <c r="Z644" s="111"/>
      <c r="AH644" s="18"/>
      <c r="AI644" s="18"/>
      <c r="AJ644" s="18"/>
      <c r="AK644" s="18"/>
      <c r="AL644" s="18"/>
      <c r="AM644" s="18"/>
      <c r="AN644" s="18"/>
    </row>
    <row r="645" spans="1:40">
      <c r="A645" s="51"/>
      <c r="B645" s="51"/>
      <c r="C645" s="51"/>
      <c r="D645" s="51"/>
      <c r="E645" s="51"/>
      <c r="F645" s="55"/>
      <c r="G645" s="56"/>
      <c r="H645" s="57"/>
      <c r="I645" s="51"/>
      <c r="J645" s="51"/>
      <c r="K645" s="58"/>
      <c r="L645" s="59"/>
      <c r="M645" s="58"/>
      <c r="N645" s="58"/>
      <c r="O645" s="51"/>
      <c r="P645" s="51"/>
      <c r="Q645" s="37"/>
      <c r="R645" s="70"/>
      <c r="S645" s="70"/>
      <c r="T645" s="70"/>
      <c r="U645" s="71"/>
      <c r="V645" s="73"/>
      <c r="W645" s="75"/>
      <c r="X645" s="117"/>
      <c r="Y645" s="111"/>
      <c r="Z645" s="111"/>
      <c r="AH645" s="18"/>
      <c r="AI645" s="18"/>
      <c r="AJ645" s="18"/>
      <c r="AK645" s="18"/>
      <c r="AL645" s="18"/>
      <c r="AM645" s="18"/>
      <c r="AN645" s="18"/>
    </row>
    <row r="646" spans="1:40">
      <c r="A646" s="51"/>
      <c r="B646" s="51"/>
      <c r="C646" s="51"/>
      <c r="D646" s="51"/>
      <c r="E646" s="51"/>
      <c r="F646" s="55"/>
      <c r="G646" s="56"/>
      <c r="H646" s="57"/>
      <c r="I646" s="51"/>
      <c r="J646" s="51"/>
      <c r="K646" s="58"/>
      <c r="L646" s="59"/>
      <c r="M646" s="58"/>
      <c r="N646" s="58"/>
      <c r="O646" s="51"/>
      <c r="P646" s="51"/>
      <c r="Q646" s="37"/>
      <c r="R646" s="70"/>
      <c r="S646" s="70"/>
      <c r="T646" s="70"/>
      <c r="U646" s="71"/>
      <c r="V646" s="73"/>
      <c r="W646" s="75"/>
      <c r="X646" s="117"/>
      <c r="Y646" s="111"/>
      <c r="Z646" s="111"/>
      <c r="AH646" s="18"/>
      <c r="AI646" s="18"/>
      <c r="AJ646" s="18"/>
      <c r="AK646" s="18"/>
      <c r="AL646" s="18"/>
      <c r="AM646" s="18"/>
      <c r="AN646" s="18"/>
    </row>
    <row r="647" spans="1:40">
      <c r="A647" s="51"/>
      <c r="B647" s="51"/>
      <c r="C647" s="51"/>
      <c r="D647" s="51"/>
      <c r="E647" s="51"/>
      <c r="F647" s="55"/>
      <c r="G647" s="56"/>
      <c r="H647" s="57"/>
      <c r="I647" s="51"/>
      <c r="J647" s="51"/>
      <c r="K647" s="58"/>
      <c r="L647" s="59"/>
      <c r="M647" s="58"/>
      <c r="N647" s="58"/>
      <c r="O647" s="51"/>
      <c r="P647" s="51"/>
      <c r="Q647" s="37"/>
      <c r="R647" s="70"/>
      <c r="S647" s="70"/>
      <c r="T647" s="70"/>
      <c r="U647" s="71"/>
      <c r="V647" s="73"/>
      <c r="W647" s="75"/>
      <c r="X647" s="117"/>
      <c r="Y647" s="111"/>
      <c r="Z647" s="111"/>
      <c r="AH647" s="18"/>
      <c r="AI647" s="18"/>
      <c r="AJ647" s="18"/>
      <c r="AK647" s="18"/>
      <c r="AL647" s="18"/>
      <c r="AM647" s="18"/>
      <c r="AN647" s="18"/>
    </row>
    <row r="648" spans="1:40">
      <c r="A648" s="51"/>
      <c r="B648" s="51"/>
      <c r="C648" s="51"/>
      <c r="D648" s="51"/>
      <c r="E648" s="51"/>
      <c r="F648" s="55"/>
      <c r="G648" s="56"/>
      <c r="H648" s="57"/>
      <c r="I648" s="51"/>
      <c r="J648" s="51"/>
      <c r="K648" s="58"/>
      <c r="L648" s="59"/>
      <c r="M648" s="58"/>
      <c r="N648" s="58"/>
      <c r="O648" s="51"/>
      <c r="P648" s="51"/>
      <c r="Q648" s="37"/>
      <c r="R648" s="70"/>
      <c r="S648" s="70"/>
      <c r="T648" s="70"/>
      <c r="U648" s="71"/>
      <c r="V648" s="73"/>
      <c r="W648" s="75"/>
      <c r="X648" s="117"/>
      <c r="Y648" s="111"/>
      <c r="Z648" s="111"/>
      <c r="AH648" s="18"/>
      <c r="AI648" s="18"/>
      <c r="AJ648" s="18"/>
      <c r="AK648" s="18"/>
      <c r="AL648" s="18"/>
      <c r="AM648" s="18"/>
      <c r="AN648" s="18"/>
    </row>
    <row r="649" spans="1:40">
      <c r="A649" s="51"/>
      <c r="B649" s="51"/>
      <c r="C649" s="51"/>
      <c r="D649" s="51"/>
      <c r="E649" s="51"/>
      <c r="F649" s="55"/>
      <c r="G649" s="56"/>
      <c r="H649" s="57"/>
      <c r="I649" s="51"/>
      <c r="J649" s="51"/>
      <c r="K649" s="58"/>
      <c r="L649" s="59"/>
      <c r="M649" s="58"/>
      <c r="N649" s="58"/>
      <c r="O649" s="51"/>
      <c r="P649" s="51"/>
      <c r="Q649" s="37"/>
      <c r="R649" s="70"/>
      <c r="S649" s="70"/>
      <c r="T649" s="70"/>
      <c r="U649" s="71"/>
      <c r="V649" s="73"/>
      <c r="W649" s="75"/>
      <c r="X649" s="117"/>
      <c r="Y649" s="111"/>
      <c r="Z649" s="111"/>
      <c r="AH649" s="18"/>
      <c r="AI649" s="18"/>
      <c r="AJ649" s="18"/>
      <c r="AK649" s="18"/>
      <c r="AL649" s="18"/>
      <c r="AM649" s="18"/>
      <c r="AN649" s="18"/>
    </row>
    <row r="650" spans="1:40">
      <c r="A650" s="51"/>
      <c r="B650" s="51"/>
      <c r="C650" s="51"/>
      <c r="D650" s="51"/>
      <c r="E650" s="51"/>
      <c r="F650" s="55"/>
      <c r="G650" s="56"/>
      <c r="H650" s="57"/>
      <c r="I650" s="51"/>
      <c r="J650" s="51"/>
      <c r="K650" s="58"/>
      <c r="L650" s="59"/>
      <c r="M650" s="58"/>
      <c r="N650" s="58"/>
      <c r="O650" s="51"/>
      <c r="P650" s="51"/>
      <c r="Q650" s="37"/>
      <c r="R650" s="70"/>
      <c r="S650" s="70"/>
      <c r="T650" s="70"/>
      <c r="U650" s="71"/>
      <c r="V650" s="73"/>
      <c r="W650" s="75"/>
      <c r="X650" s="117"/>
      <c r="Y650" s="111"/>
      <c r="Z650" s="111"/>
      <c r="AH650" s="18"/>
      <c r="AI650" s="18"/>
      <c r="AJ650" s="18"/>
      <c r="AK650" s="18"/>
      <c r="AL650" s="18"/>
      <c r="AM650" s="18"/>
      <c r="AN650" s="18"/>
    </row>
    <row r="651" spans="1:40">
      <c r="A651" s="51"/>
      <c r="B651" s="51"/>
      <c r="C651" s="51"/>
      <c r="D651" s="51"/>
      <c r="E651" s="51"/>
      <c r="F651" s="55"/>
      <c r="G651" s="56"/>
      <c r="H651" s="57"/>
      <c r="I651" s="51"/>
      <c r="J651" s="51"/>
      <c r="K651" s="58"/>
      <c r="L651" s="59"/>
      <c r="M651" s="58"/>
      <c r="N651" s="58"/>
      <c r="O651" s="51"/>
      <c r="P651" s="51"/>
      <c r="Q651" s="37"/>
      <c r="R651" s="70"/>
      <c r="S651" s="70"/>
      <c r="T651" s="70"/>
      <c r="U651" s="71"/>
      <c r="V651" s="73"/>
      <c r="W651" s="75"/>
      <c r="X651" s="117"/>
      <c r="Y651" s="111"/>
      <c r="Z651" s="111"/>
      <c r="AH651" s="18"/>
      <c r="AI651" s="18"/>
      <c r="AJ651" s="18"/>
      <c r="AK651" s="18"/>
      <c r="AL651" s="18"/>
      <c r="AM651" s="18"/>
      <c r="AN651" s="18"/>
    </row>
    <row r="652" spans="1:40">
      <c r="A652" s="51"/>
      <c r="B652" s="51"/>
      <c r="C652" s="51"/>
      <c r="D652" s="51"/>
      <c r="E652" s="51"/>
      <c r="F652" s="55"/>
      <c r="G652" s="56"/>
      <c r="H652" s="57"/>
      <c r="I652" s="51"/>
      <c r="J652" s="51"/>
      <c r="K652" s="58"/>
      <c r="L652" s="59"/>
      <c r="M652" s="58"/>
      <c r="N652" s="58"/>
      <c r="O652" s="51"/>
      <c r="P652" s="51"/>
      <c r="Q652" s="37"/>
      <c r="R652" s="70"/>
      <c r="S652" s="70"/>
      <c r="T652" s="70"/>
      <c r="U652" s="71"/>
      <c r="V652" s="73"/>
      <c r="W652" s="75"/>
      <c r="X652" s="117"/>
      <c r="Y652" s="111"/>
      <c r="Z652" s="111"/>
      <c r="AH652" s="18"/>
      <c r="AI652" s="18"/>
      <c r="AJ652" s="18"/>
      <c r="AK652" s="18"/>
      <c r="AL652" s="18"/>
      <c r="AM652" s="18"/>
      <c r="AN652" s="18"/>
    </row>
    <row r="653" spans="1:40">
      <c r="A653" s="51"/>
      <c r="B653" s="51"/>
      <c r="C653" s="51"/>
      <c r="D653" s="51"/>
      <c r="E653" s="51"/>
      <c r="F653" s="55"/>
      <c r="G653" s="56"/>
      <c r="H653" s="57"/>
      <c r="I653" s="51"/>
      <c r="J653" s="51"/>
      <c r="K653" s="58"/>
      <c r="L653" s="59"/>
      <c r="M653" s="58"/>
      <c r="N653" s="58"/>
      <c r="O653" s="51"/>
      <c r="P653" s="51"/>
      <c r="Q653" s="37"/>
      <c r="R653" s="70"/>
      <c r="S653" s="70"/>
      <c r="T653" s="70"/>
      <c r="U653" s="71"/>
      <c r="V653" s="73"/>
      <c r="W653" s="75"/>
      <c r="X653" s="117"/>
      <c r="Y653" s="111"/>
      <c r="Z653" s="111"/>
      <c r="AH653" s="18"/>
      <c r="AI653" s="18"/>
      <c r="AJ653" s="18"/>
      <c r="AK653" s="18"/>
      <c r="AL653" s="18"/>
      <c r="AM653" s="18"/>
      <c r="AN653" s="18"/>
    </row>
    <row r="654" spans="1:40">
      <c r="A654" s="51"/>
      <c r="B654" s="51"/>
      <c r="C654" s="51"/>
      <c r="D654" s="51"/>
      <c r="E654" s="51"/>
      <c r="F654" s="55"/>
      <c r="G654" s="56"/>
      <c r="H654" s="57"/>
      <c r="I654" s="51"/>
      <c r="J654" s="51"/>
      <c r="K654" s="58"/>
      <c r="L654" s="59"/>
      <c r="M654" s="58"/>
      <c r="N654" s="58"/>
      <c r="O654" s="51"/>
      <c r="P654" s="51"/>
      <c r="Q654" s="37"/>
      <c r="R654" s="70"/>
      <c r="S654" s="70"/>
      <c r="T654" s="70"/>
      <c r="U654" s="71"/>
      <c r="V654" s="73"/>
      <c r="W654" s="75"/>
      <c r="X654" s="117"/>
      <c r="Y654" s="111"/>
      <c r="Z654" s="111"/>
      <c r="AH654" s="18"/>
      <c r="AI654" s="18"/>
      <c r="AJ654" s="18"/>
      <c r="AK654" s="18"/>
      <c r="AL654" s="18"/>
      <c r="AM654" s="18"/>
      <c r="AN654" s="18"/>
    </row>
    <row r="655" spans="1:40">
      <c r="A655" s="51"/>
      <c r="B655" s="51"/>
      <c r="C655" s="51"/>
      <c r="D655" s="51"/>
      <c r="E655" s="51"/>
      <c r="F655" s="55"/>
      <c r="G655" s="56"/>
      <c r="H655" s="57"/>
      <c r="I655" s="51"/>
      <c r="J655" s="51"/>
      <c r="K655" s="58"/>
      <c r="L655" s="59"/>
      <c r="M655" s="58"/>
      <c r="N655" s="58"/>
      <c r="O655" s="51"/>
      <c r="P655" s="51"/>
      <c r="Q655" s="37"/>
      <c r="R655" s="70"/>
      <c r="S655" s="70"/>
      <c r="T655" s="70"/>
      <c r="U655" s="71"/>
      <c r="V655" s="73"/>
      <c r="W655" s="75"/>
      <c r="X655" s="117"/>
      <c r="Y655" s="111"/>
      <c r="Z655" s="111"/>
      <c r="AH655" s="18"/>
      <c r="AI655" s="18"/>
      <c r="AJ655" s="18"/>
      <c r="AK655" s="18"/>
      <c r="AL655" s="18"/>
      <c r="AM655" s="18"/>
      <c r="AN655" s="18"/>
    </row>
    <row r="656" spans="1:40">
      <c r="A656" s="51"/>
      <c r="B656" s="51"/>
      <c r="C656" s="51"/>
      <c r="D656" s="51"/>
      <c r="E656" s="51"/>
      <c r="F656" s="55"/>
      <c r="G656" s="56"/>
      <c r="H656" s="57"/>
      <c r="I656" s="51"/>
      <c r="J656" s="51"/>
      <c r="K656" s="58"/>
      <c r="L656" s="59"/>
      <c r="M656" s="58"/>
      <c r="N656" s="58"/>
      <c r="O656" s="51"/>
      <c r="P656" s="51"/>
      <c r="Q656" s="37"/>
      <c r="R656" s="70"/>
      <c r="S656" s="70"/>
      <c r="T656" s="70"/>
      <c r="U656" s="71"/>
      <c r="V656" s="73"/>
      <c r="W656" s="75"/>
      <c r="X656" s="117"/>
      <c r="Y656" s="111"/>
      <c r="Z656" s="111"/>
      <c r="AH656" s="18"/>
      <c r="AI656" s="18"/>
      <c r="AJ656" s="18"/>
      <c r="AK656" s="18"/>
      <c r="AL656" s="18"/>
      <c r="AM656" s="18"/>
      <c r="AN656" s="18"/>
    </row>
    <row r="657" spans="1:40">
      <c r="A657" s="51"/>
      <c r="B657" s="51"/>
      <c r="C657" s="51"/>
      <c r="D657" s="51"/>
      <c r="E657" s="51"/>
      <c r="F657" s="55"/>
      <c r="G657" s="56"/>
      <c r="H657" s="57"/>
      <c r="I657" s="51"/>
      <c r="J657" s="51"/>
      <c r="K657" s="58"/>
      <c r="L657" s="59"/>
      <c r="M657" s="58"/>
      <c r="N657" s="58"/>
      <c r="O657" s="51"/>
      <c r="P657" s="51"/>
      <c r="Q657" s="37"/>
      <c r="R657" s="70"/>
      <c r="S657" s="70"/>
      <c r="T657" s="70"/>
      <c r="U657" s="71"/>
      <c r="V657" s="73"/>
      <c r="W657" s="75"/>
      <c r="X657" s="117"/>
      <c r="Y657" s="111"/>
      <c r="Z657" s="111"/>
      <c r="AH657" s="18"/>
      <c r="AI657" s="18"/>
      <c r="AJ657" s="18"/>
      <c r="AK657" s="18"/>
      <c r="AL657" s="18"/>
      <c r="AM657" s="18"/>
      <c r="AN657" s="18"/>
    </row>
    <row r="658" spans="1:40">
      <c r="A658" s="51"/>
      <c r="B658" s="51"/>
      <c r="C658" s="51"/>
      <c r="D658" s="51"/>
      <c r="E658" s="51"/>
      <c r="F658" s="55"/>
      <c r="G658" s="56"/>
      <c r="H658" s="57"/>
      <c r="I658" s="51"/>
      <c r="J658" s="51"/>
      <c r="K658" s="58"/>
      <c r="L658" s="59"/>
      <c r="M658" s="58"/>
      <c r="N658" s="58"/>
      <c r="O658" s="51"/>
      <c r="P658" s="51"/>
      <c r="Q658" s="37"/>
      <c r="R658" s="70"/>
      <c r="S658" s="70"/>
      <c r="T658" s="70"/>
      <c r="U658" s="71"/>
      <c r="V658" s="73"/>
      <c r="W658" s="75"/>
      <c r="X658" s="117"/>
      <c r="Y658" s="111"/>
      <c r="Z658" s="111"/>
      <c r="AH658" s="18"/>
      <c r="AI658" s="18"/>
      <c r="AJ658" s="18"/>
      <c r="AK658" s="18"/>
      <c r="AL658" s="18"/>
      <c r="AM658" s="18"/>
      <c r="AN658" s="18"/>
    </row>
    <row r="659" spans="1:40">
      <c r="A659" s="51"/>
      <c r="B659" s="51"/>
      <c r="C659" s="51"/>
      <c r="D659" s="51"/>
      <c r="E659" s="51"/>
      <c r="F659" s="55"/>
      <c r="G659" s="56"/>
      <c r="H659" s="57"/>
      <c r="I659" s="51"/>
      <c r="J659" s="51"/>
      <c r="K659" s="58"/>
      <c r="L659" s="59"/>
      <c r="M659" s="58"/>
      <c r="N659" s="58"/>
      <c r="O659" s="51"/>
      <c r="P659" s="51"/>
      <c r="Q659" s="37"/>
      <c r="R659" s="70"/>
      <c r="S659" s="70"/>
      <c r="T659" s="70"/>
      <c r="U659" s="71"/>
      <c r="V659" s="73"/>
      <c r="W659" s="75"/>
      <c r="X659" s="117"/>
      <c r="Y659" s="111"/>
      <c r="Z659" s="111"/>
      <c r="AH659" s="18"/>
      <c r="AI659" s="18"/>
      <c r="AJ659" s="18"/>
      <c r="AK659" s="18"/>
      <c r="AL659" s="18"/>
      <c r="AM659" s="18"/>
      <c r="AN659" s="18"/>
    </row>
    <row r="660" spans="1:40">
      <c r="A660" s="51"/>
      <c r="B660" s="51"/>
      <c r="C660" s="51"/>
      <c r="D660" s="51"/>
      <c r="E660" s="51"/>
      <c r="F660" s="55"/>
      <c r="G660" s="56"/>
      <c r="H660" s="57"/>
      <c r="I660" s="51"/>
      <c r="J660" s="51"/>
      <c r="K660" s="58"/>
      <c r="L660" s="59"/>
      <c r="M660" s="58"/>
      <c r="N660" s="58"/>
      <c r="O660" s="51"/>
      <c r="P660" s="51"/>
      <c r="Q660" s="37"/>
      <c r="R660" s="70"/>
      <c r="S660" s="70"/>
      <c r="T660" s="70"/>
      <c r="U660" s="71"/>
      <c r="V660" s="73"/>
      <c r="W660" s="75"/>
      <c r="X660" s="117"/>
      <c r="Y660" s="111"/>
      <c r="Z660" s="111"/>
      <c r="AH660" s="18"/>
      <c r="AI660" s="18"/>
      <c r="AJ660" s="18"/>
      <c r="AK660" s="18"/>
      <c r="AL660" s="18"/>
      <c r="AM660" s="18"/>
      <c r="AN660" s="18"/>
    </row>
    <row r="661" spans="1:40">
      <c r="A661" s="51"/>
      <c r="B661" s="51"/>
      <c r="C661" s="51"/>
      <c r="D661" s="51"/>
      <c r="E661" s="51"/>
      <c r="F661" s="55"/>
      <c r="G661" s="56"/>
      <c r="H661" s="57"/>
      <c r="I661" s="51"/>
      <c r="J661" s="51"/>
      <c r="K661" s="58"/>
      <c r="L661" s="59"/>
      <c r="M661" s="58"/>
      <c r="N661" s="58"/>
      <c r="O661" s="51"/>
      <c r="P661" s="51"/>
      <c r="Q661" s="37"/>
      <c r="R661" s="70"/>
      <c r="S661" s="70"/>
      <c r="T661" s="70"/>
      <c r="U661" s="71"/>
      <c r="V661" s="73"/>
      <c r="W661" s="75"/>
      <c r="X661" s="117"/>
      <c r="Y661" s="111"/>
      <c r="Z661" s="111"/>
      <c r="AH661" s="18"/>
      <c r="AI661" s="18"/>
      <c r="AJ661" s="18"/>
      <c r="AK661" s="18"/>
      <c r="AL661" s="18"/>
      <c r="AM661" s="18"/>
      <c r="AN661" s="18"/>
    </row>
    <row r="662" spans="1:40">
      <c r="A662" s="51"/>
      <c r="B662" s="51"/>
      <c r="C662" s="51"/>
      <c r="D662" s="51"/>
      <c r="E662" s="51"/>
      <c r="F662" s="55"/>
      <c r="G662" s="56"/>
      <c r="H662" s="57"/>
      <c r="I662" s="51"/>
      <c r="J662" s="51"/>
      <c r="K662" s="58"/>
      <c r="L662" s="59"/>
      <c r="M662" s="58"/>
      <c r="N662" s="58"/>
      <c r="O662" s="51"/>
      <c r="P662" s="51"/>
      <c r="Q662" s="37"/>
      <c r="R662" s="70"/>
      <c r="S662" s="70"/>
      <c r="T662" s="70"/>
      <c r="U662" s="71"/>
      <c r="V662" s="73"/>
      <c r="W662" s="75"/>
      <c r="X662" s="117"/>
      <c r="Y662" s="111"/>
      <c r="Z662" s="111"/>
      <c r="AH662" s="18"/>
      <c r="AI662" s="18"/>
      <c r="AJ662" s="18"/>
      <c r="AK662" s="18"/>
      <c r="AL662" s="18"/>
      <c r="AM662" s="18"/>
      <c r="AN662" s="18"/>
    </row>
    <row r="663" spans="1:40">
      <c r="A663" s="51"/>
      <c r="B663" s="51"/>
      <c r="C663" s="51"/>
      <c r="D663" s="51"/>
      <c r="E663" s="51"/>
      <c r="F663" s="55"/>
      <c r="G663" s="56"/>
      <c r="H663" s="57"/>
      <c r="I663" s="51"/>
      <c r="J663" s="51"/>
      <c r="K663" s="58"/>
      <c r="L663" s="59"/>
      <c r="M663" s="58"/>
      <c r="N663" s="58"/>
      <c r="O663" s="51"/>
      <c r="P663" s="51"/>
      <c r="Q663" s="37"/>
      <c r="R663" s="70"/>
      <c r="S663" s="70"/>
      <c r="T663" s="70"/>
      <c r="U663" s="71"/>
      <c r="V663" s="73"/>
      <c r="W663" s="75"/>
      <c r="X663" s="117"/>
      <c r="Y663" s="111"/>
      <c r="Z663" s="111"/>
      <c r="AH663" s="18"/>
      <c r="AI663" s="18"/>
      <c r="AJ663" s="18"/>
      <c r="AK663" s="18"/>
      <c r="AL663" s="18"/>
      <c r="AM663" s="18"/>
      <c r="AN663" s="18"/>
    </row>
    <row r="664" spans="1:40">
      <c r="A664" s="51"/>
      <c r="B664" s="51"/>
      <c r="C664" s="51"/>
      <c r="D664" s="51"/>
      <c r="E664" s="51"/>
      <c r="F664" s="55"/>
      <c r="G664" s="56"/>
      <c r="H664" s="57"/>
      <c r="I664" s="51"/>
      <c r="J664" s="51"/>
      <c r="K664" s="58"/>
      <c r="L664" s="59"/>
      <c r="M664" s="58"/>
      <c r="N664" s="58"/>
      <c r="O664" s="51"/>
      <c r="P664" s="51"/>
      <c r="Q664" s="37"/>
      <c r="R664" s="70"/>
      <c r="S664" s="70"/>
      <c r="T664" s="70"/>
      <c r="U664" s="71"/>
      <c r="V664" s="73"/>
      <c r="W664" s="75"/>
      <c r="X664" s="117"/>
      <c r="Y664" s="111"/>
      <c r="Z664" s="111"/>
      <c r="AH664" s="18"/>
      <c r="AI664" s="18"/>
      <c r="AJ664" s="18"/>
      <c r="AK664" s="18"/>
      <c r="AL664" s="18"/>
      <c r="AM664" s="18"/>
      <c r="AN664" s="18"/>
    </row>
    <row r="665" spans="1:40">
      <c r="A665" s="51"/>
      <c r="B665" s="51"/>
      <c r="C665" s="51"/>
      <c r="D665" s="51"/>
      <c r="E665" s="51"/>
      <c r="F665" s="55"/>
      <c r="G665" s="56"/>
      <c r="H665" s="57"/>
      <c r="I665" s="51"/>
      <c r="J665" s="51"/>
      <c r="K665" s="58"/>
      <c r="L665" s="59"/>
      <c r="M665" s="58"/>
      <c r="N665" s="58"/>
      <c r="O665" s="51"/>
      <c r="P665" s="51"/>
      <c r="Q665" s="37"/>
      <c r="R665" s="70"/>
      <c r="S665" s="70"/>
      <c r="T665" s="70"/>
      <c r="U665" s="71"/>
      <c r="V665" s="73"/>
      <c r="W665" s="75"/>
      <c r="X665" s="117"/>
      <c r="Y665" s="111"/>
      <c r="Z665" s="111"/>
      <c r="AH665" s="18"/>
      <c r="AI665" s="18"/>
      <c r="AJ665" s="18"/>
      <c r="AK665" s="18"/>
      <c r="AL665" s="18"/>
      <c r="AM665" s="18"/>
      <c r="AN665" s="18"/>
    </row>
    <row r="666" spans="1:40">
      <c r="A666" s="51"/>
      <c r="B666" s="51"/>
      <c r="C666" s="51"/>
      <c r="D666" s="51"/>
      <c r="E666" s="51"/>
      <c r="F666" s="55"/>
      <c r="G666" s="56"/>
      <c r="H666" s="57"/>
      <c r="I666" s="51"/>
      <c r="J666" s="51"/>
      <c r="K666" s="58"/>
      <c r="L666" s="59"/>
      <c r="M666" s="58"/>
      <c r="N666" s="58"/>
      <c r="O666" s="51"/>
      <c r="P666" s="51"/>
      <c r="Q666" s="37"/>
      <c r="R666" s="70"/>
      <c r="S666" s="70"/>
      <c r="T666" s="70"/>
      <c r="U666" s="71"/>
      <c r="V666" s="73"/>
      <c r="W666" s="75"/>
      <c r="X666" s="117"/>
      <c r="Y666" s="111"/>
      <c r="Z666" s="111"/>
      <c r="AH666" s="18"/>
      <c r="AI666" s="18"/>
      <c r="AJ666" s="18"/>
      <c r="AK666" s="18"/>
      <c r="AL666" s="18"/>
      <c r="AM666" s="18"/>
      <c r="AN666" s="18"/>
    </row>
    <row r="667" spans="1:40">
      <c r="A667" s="51"/>
      <c r="B667" s="51"/>
      <c r="C667" s="51"/>
      <c r="D667" s="51"/>
      <c r="E667" s="51"/>
      <c r="F667" s="55"/>
      <c r="G667" s="56"/>
      <c r="H667" s="57"/>
      <c r="I667" s="51"/>
      <c r="J667" s="51"/>
      <c r="K667" s="58"/>
      <c r="L667" s="59"/>
      <c r="M667" s="58"/>
      <c r="N667" s="58"/>
      <c r="O667" s="51"/>
      <c r="P667" s="51"/>
      <c r="Q667" s="37"/>
      <c r="R667" s="70"/>
      <c r="S667" s="70"/>
      <c r="T667" s="70"/>
      <c r="U667" s="71"/>
      <c r="V667" s="73"/>
      <c r="W667" s="75"/>
      <c r="X667" s="117"/>
      <c r="Y667" s="111"/>
      <c r="Z667" s="111"/>
      <c r="AH667" s="18"/>
      <c r="AI667" s="18"/>
      <c r="AJ667" s="18"/>
      <c r="AK667" s="18"/>
      <c r="AL667" s="18"/>
      <c r="AM667" s="18"/>
      <c r="AN667" s="18"/>
    </row>
    <row r="668" spans="1:40">
      <c r="A668" s="51"/>
      <c r="B668" s="51"/>
      <c r="C668" s="51"/>
      <c r="D668" s="51"/>
      <c r="E668" s="51"/>
      <c r="F668" s="55"/>
      <c r="G668" s="56"/>
      <c r="H668" s="57"/>
      <c r="I668" s="51"/>
      <c r="J668" s="51"/>
      <c r="K668" s="58"/>
      <c r="L668" s="59"/>
      <c r="M668" s="58"/>
      <c r="N668" s="58"/>
      <c r="O668" s="51"/>
      <c r="P668" s="51"/>
      <c r="Q668" s="37"/>
      <c r="R668" s="70"/>
      <c r="S668" s="70"/>
      <c r="T668" s="70"/>
      <c r="U668" s="71"/>
      <c r="V668" s="73"/>
      <c r="W668" s="75"/>
      <c r="X668" s="117"/>
      <c r="Y668" s="111"/>
      <c r="Z668" s="111"/>
      <c r="AH668" s="18"/>
      <c r="AI668" s="18"/>
      <c r="AJ668" s="18"/>
      <c r="AK668" s="18"/>
      <c r="AL668" s="18"/>
      <c r="AM668" s="18"/>
      <c r="AN668" s="18"/>
    </row>
    <row r="669" spans="1:40">
      <c r="A669" s="51"/>
      <c r="B669" s="51"/>
      <c r="C669" s="51"/>
      <c r="D669" s="51"/>
      <c r="E669" s="51"/>
      <c r="F669" s="55"/>
      <c r="G669" s="56"/>
      <c r="H669" s="57"/>
      <c r="I669" s="51"/>
      <c r="J669" s="51"/>
      <c r="K669" s="58"/>
      <c r="L669" s="59"/>
      <c r="M669" s="58"/>
      <c r="N669" s="58"/>
      <c r="O669" s="51"/>
      <c r="P669" s="51"/>
      <c r="Q669" s="37"/>
      <c r="R669" s="70"/>
      <c r="S669" s="70"/>
      <c r="T669" s="70"/>
      <c r="U669" s="71"/>
      <c r="V669" s="73"/>
      <c r="W669" s="75"/>
      <c r="X669" s="117"/>
      <c r="Y669" s="111"/>
      <c r="Z669" s="111"/>
      <c r="AH669" s="18"/>
      <c r="AI669" s="18"/>
      <c r="AJ669" s="18"/>
      <c r="AK669" s="18"/>
      <c r="AL669" s="18"/>
      <c r="AM669" s="18"/>
      <c r="AN669" s="18"/>
    </row>
    <row r="670" spans="1:40">
      <c r="A670" s="51"/>
      <c r="B670" s="51"/>
      <c r="C670" s="51"/>
      <c r="D670" s="51"/>
      <c r="E670" s="51"/>
      <c r="F670" s="55"/>
      <c r="G670" s="56"/>
      <c r="H670" s="57"/>
      <c r="I670" s="51"/>
      <c r="J670" s="51"/>
      <c r="K670" s="58"/>
      <c r="L670" s="59"/>
      <c r="M670" s="58"/>
      <c r="N670" s="58"/>
      <c r="O670" s="51"/>
      <c r="P670" s="51"/>
      <c r="Q670" s="37"/>
      <c r="R670" s="70"/>
      <c r="S670" s="70"/>
      <c r="T670" s="70"/>
      <c r="U670" s="71"/>
      <c r="V670" s="73"/>
      <c r="W670" s="75"/>
      <c r="X670" s="117"/>
      <c r="Y670" s="111"/>
      <c r="Z670" s="111"/>
      <c r="AH670" s="18"/>
      <c r="AI670" s="18"/>
      <c r="AJ670" s="18"/>
      <c r="AK670" s="18"/>
      <c r="AL670" s="18"/>
      <c r="AM670" s="18"/>
      <c r="AN670" s="18"/>
    </row>
    <row r="671" spans="1:40">
      <c r="A671" s="51"/>
      <c r="B671" s="51"/>
      <c r="C671" s="51"/>
      <c r="D671" s="51"/>
      <c r="E671" s="51"/>
      <c r="F671" s="55"/>
      <c r="G671" s="56"/>
      <c r="H671" s="57"/>
      <c r="I671" s="51"/>
      <c r="J671" s="51"/>
      <c r="K671" s="58"/>
      <c r="L671" s="59"/>
      <c r="M671" s="58"/>
      <c r="N671" s="58"/>
      <c r="O671" s="51"/>
      <c r="P671" s="51"/>
      <c r="Q671" s="37"/>
      <c r="R671" s="70"/>
      <c r="S671" s="70"/>
      <c r="T671" s="70"/>
      <c r="U671" s="71"/>
      <c r="V671" s="73"/>
      <c r="W671" s="75"/>
      <c r="X671" s="117"/>
      <c r="Y671" s="111"/>
      <c r="Z671" s="111"/>
      <c r="AH671" s="18"/>
      <c r="AI671" s="18"/>
      <c r="AJ671" s="18"/>
      <c r="AK671" s="18"/>
      <c r="AL671" s="18"/>
      <c r="AM671" s="18"/>
      <c r="AN671" s="18"/>
    </row>
    <row r="672" spans="1:40">
      <c r="A672" s="51"/>
      <c r="B672" s="51"/>
      <c r="C672" s="51"/>
      <c r="D672" s="51"/>
      <c r="E672" s="51"/>
      <c r="F672" s="55"/>
      <c r="G672" s="56"/>
      <c r="H672" s="57"/>
      <c r="I672" s="51"/>
      <c r="J672" s="51"/>
      <c r="K672" s="58"/>
      <c r="L672" s="59"/>
      <c r="M672" s="58"/>
      <c r="N672" s="58"/>
      <c r="O672" s="51"/>
      <c r="P672" s="51"/>
      <c r="Q672" s="37"/>
      <c r="R672" s="70"/>
      <c r="S672" s="70"/>
      <c r="T672" s="70"/>
      <c r="U672" s="71"/>
      <c r="V672" s="73"/>
      <c r="W672" s="75"/>
      <c r="X672" s="117"/>
      <c r="Y672" s="111"/>
      <c r="Z672" s="111"/>
      <c r="AH672" s="18"/>
      <c r="AI672" s="18"/>
      <c r="AJ672" s="18"/>
      <c r="AK672" s="18"/>
      <c r="AL672" s="18"/>
      <c r="AM672" s="18"/>
      <c r="AN672" s="18"/>
    </row>
    <row r="673" spans="1:40">
      <c r="A673" s="51"/>
      <c r="B673" s="51"/>
      <c r="C673" s="51"/>
      <c r="D673" s="51"/>
      <c r="E673" s="51"/>
      <c r="F673" s="55"/>
      <c r="G673" s="56"/>
      <c r="H673" s="57"/>
      <c r="I673" s="51"/>
      <c r="J673" s="51"/>
      <c r="K673" s="58"/>
      <c r="L673" s="59"/>
      <c r="M673" s="58"/>
      <c r="N673" s="58"/>
      <c r="O673" s="51"/>
      <c r="P673" s="51"/>
      <c r="Q673" s="37"/>
      <c r="R673" s="70"/>
      <c r="S673" s="70"/>
      <c r="T673" s="70"/>
      <c r="U673" s="71"/>
      <c r="V673" s="73"/>
      <c r="W673" s="75"/>
      <c r="X673" s="117"/>
      <c r="Y673" s="111"/>
      <c r="Z673" s="111"/>
      <c r="AH673" s="18"/>
      <c r="AI673" s="18"/>
      <c r="AJ673" s="18"/>
      <c r="AK673" s="18"/>
      <c r="AL673" s="18"/>
      <c r="AM673" s="18"/>
      <c r="AN673" s="18"/>
    </row>
    <row r="674" spans="1:40">
      <c r="A674" s="51"/>
      <c r="B674" s="51"/>
      <c r="C674" s="51"/>
      <c r="D674" s="51"/>
      <c r="E674" s="51"/>
      <c r="F674" s="55"/>
      <c r="G674" s="56"/>
      <c r="H674" s="57"/>
      <c r="I674" s="51"/>
      <c r="J674" s="51"/>
      <c r="K674" s="58"/>
      <c r="L674" s="59"/>
      <c r="M674" s="58"/>
      <c r="N674" s="58"/>
      <c r="O674" s="51"/>
      <c r="P674" s="51"/>
      <c r="Q674" s="37"/>
      <c r="R674" s="70"/>
      <c r="S674" s="70"/>
      <c r="T674" s="70"/>
      <c r="U674" s="71"/>
      <c r="V674" s="73"/>
      <c r="W674" s="75"/>
      <c r="X674" s="117"/>
      <c r="Y674" s="111"/>
      <c r="Z674" s="111"/>
      <c r="AH674" s="18"/>
      <c r="AI674" s="18"/>
      <c r="AJ674" s="18"/>
      <c r="AK674" s="18"/>
      <c r="AL674" s="18"/>
      <c r="AM674" s="18"/>
      <c r="AN674" s="18"/>
    </row>
    <row r="675" spans="1:40">
      <c r="A675" s="51"/>
      <c r="B675" s="51"/>
      <c r="C675" s="51"/>
      <c r="D675" s="51"/>
      <c r="E675" s="51"/>
      <c r="F675" s="55"/>
      <c r="G675" s="56"/>
      <c r="H675" s="57"/>
      <c r="I675" s="51"/>
      <c r="J675" s="51"/>
      <c r="K675" s="58"/>
      <c r="L675" s="59"/>
      <c r="M675" s="58"/>
      <c r="N675" s="58"/>
      <c r="O675" s="51"/>
      <c r="P675" s="51"/>
      <c r="Q675" s="37"/>
      <c r="R675" s="70"/>
      <c r="S675" s="70"/>
      <c r="T675" s="70"/>
      <c r="U675" s="71"/>
      <c r="V675" s="73"/>
      <c r="W675" s="75"/>
      <c r="X675" s="117"/>
      <c r="Y675" s="111"/>
      <c r="Z675" s="111"/>
      <c r="AH675" s="18"/>
      <c r="AI675" s="18"/>
      <c r="AJ675" s="18"/>
      <c r="AK675" s="18"/>
      <c r="AL675" s="18"/>
      <c r="AM675" s="18"/>
      <c r="AN675" s="18"/>
    </row>
    <row r="676" spans="1:40">
      <c r="A676" s="51"/>
      <c r="B676" s="51"/>
      <c r="C676" s="51"/>
      <c r="D676" s="51"/>
      <c r="E676" s="51"/>
      <c r="F676" s="55"/>
      <c r="G676" s="56"/>
      <c r="H676" s="57"/>
      <c r="I676" s="51"/>
      <c r="J676" s="51"/>
      <c r="K676" s="58"/>
      <c r="L676" s="59"/>
      <c r="M676" s="58"/>
      <c r="N676" s="58"/>
      <c r="O676" s="51"/>
      <c r="P676" s="51"/>
      <c r="Q676" s="37"/>
      <c r="R676" s="70"/>
      <c r="S676" s="70"/>
      <c r="T676" s="70"/>
      <c r="U676" s="71"/>
      <c r="V676" s="73"/>
      <c r="W676" s="75"/>
      <c r="X676" s="117"/>
      <c r="Y676" s="111"/>
      <c r="Z676" s="111"/>
      <c r="AH676" s="18"/>
      <c r="AI676" s="18"/>
      <c r="AJ676" s="18"/>
      <c r="AK676" s="18"/>
      <c r="AL676" s="18"/>
      <c r="AM676" s="18"/>
      <c r="AN676" s="18"/>
    </row>
    <row r="677" spans="1:40">
      <c r="A677" s="51"/>
      <c r="B677" s="51"/>
      <c r="C677" s="51"/>
      <c r="D677" s="51"/>
      <c r="E677" s="51"/>
      <c r="F677" s="55"/>
      <c r="G677" s="56"/>
      <c r="H677" s="57"/>
      <c r="I677" s="51"/>
      <c r="J677" s="51"/>
      <c r="K677" s="58"/>
      <c r="L677" s="59"/>
      <c r="M677" s="58"/>
      <c r="N677" s="58"/>
      <c r="O677" s="51"/>
      <c r="P677" s="51"/>
      <c r="Q677" s="37"/>
      <c r="R677" s="70"/>
      <c r="S677" s="70"/>
      <c r="T677" s="70"/>
      <c r="U677" s="71"/>
      <c r="V677" s="73"/>
      <c r="W677" s="75"/>
      <c r="X677" s="117"/>
      <c r="Y677" s="111"/>
      <c r="Z677" s="111"/>
      <c r="AH677" s="18"/>
      <c r="AI677" s="18"/>
      <c r="AJ677" s="18"/>
      <c r="AK677" s="18"/>
      <c r="AL677" s="18"/>
      <c r="AM677" s="18"/>
      <c r="AN677" s="18"/>
    </row>
    <row r="678" spans="1:40">
      <c r="A678" s="51"/>
      <c r="B678" s="51"/>
      <c r="C678" s="51"/>
      <c r="D678" s="51"/>
      <c r="E678" s="51"/>
      <c r="F678" s="55"/>
      <c r="G678" s="56"/>
      <c r="H678" s="57"/>
      <c r="I678" s="51"/>
      <c r="J678" s="51"/>
      <c r="K678" s="58"/>
      <c r="L678" s="59"/>
      <c r="M678" s="58"/>
      <c r="N678" s="58"/>
      <c r="O678" s="51"/>
      <c r="P678" s="51"/>
      <c r="Q678" s="37"/>
      <c r="R678" s="70"/>
      <c r="S678" s="70"/>
      <c r="T678" s="70"/>
      <c r="U678" s="71"/>
      <c r="V678" s="73"/>
      <c r="W678" s="75"/>
      <c r="X678" s="117"/>
      <c r="Y678" s="111"/>
      <c r="Z678" s="111"/>
      <c r="AH678" s="18"/>
      <c r="AI678" s="18"/>
      <c r="AJ678" s="18"/>
      <c r="AK678" s="18"/>
      <c r="AL678" s="18"/>
      <c r="AM678" s="18"/>
      <c r="AN678" s="18"/>
    </row>
    <row r="679" spans="1:40">
      <c r="A679" s="51"/>
      <c r="B679" s="51"/>
      <c r="C679" s="51"/>
      <c r="D679" s="51"/>
      <c r="E679" s="51"/>
      <c r="F679" s="55"/>
      <c r="G679" s="56"/>
      <c r="H679" s="57"/>
      <c r="I679" s="51"/>
      <c r="J679" s="51"/>
      <c r="K679" s="58"/>
      <c r="L679" s="59"/>
      <c r="M679" s="58"/>
      <c r="N679" s="58"/>
      <c r="O679" s="51"/>
      <c r="P679" s="51"/>
      <c r="Q679" s="37"/>
      <c r="R679" s="70"/>
      <c r="S679" s="70"/>
      <c r="T679" s="70"/>
      <c r="U679" s="71"/>
      <c r="V679" s="73"/>
      <c r="W679" s="75"/>
      <c r="X679" s="117"/>
      <c r="Y679" s="111"/>
      <c r="Z679" s="111"/>
      <c r="AH679" s="18"/>
      <c r="AI679" s="18"/>
      <c r="AJ679" s="18"/>
      <c r="AK679" s="18"/>
      <c r="AL679" s="18"/>
      <c r="AM679" s="18"/>
      <c r="AN679" s="18"/>
    </row>
    <row r="680" spans="1:40">
      <c r="A680" s="51"/>
      <c r="B680" s="51"/>
      <c r="C680" s="51"/>
      <c r="D680" s="51"/>
      <c r="E680" s="51"/>
      <c r="F680" s="55"/>
      <c r="G680" s="56"/>
      <c r="H680" s="57"/>
      <c r="I680" s="51"/>
      <c r="J680" s="51"/>
      <c r="K680" s="58"/>
      <c r="L680" s="59"/>
      <c r="M680" s="58"/>
      <c r="N680" s="58"/>
      <c r="O680" s="51"/>
      <c r="P680" s="51"/>
      <c r="Q680" s="37"/>
      <c r="R680" s="70"/>
      <c r="S680" s="70"/>
      <c r="T680" s="70"/>
      <c r="U680" s="71"/>
      <c r="V680" s="73"/>
      <c r="W680" s="75"/>
      <c r="X680" s="117"/>
      <c r="Y680" s="111"/>
      <c r="Z680" s="111"/>
      <c r="AH680" s="18"/>
      <c r="AI680" s="18"/>
      <c r="AJ680" s="18"/>
      <c r="AK680" s="18"/>
      <c r="AL680" s="18"/>
      <c r="AM680" s="18"/>
      <c r="AN680" s="18"/>
    </row>
    <row r="681" spans="1:40">
      <c r="A681" s="51"/>
      <c r="B681" s="51"/>
      <c r="C681" s="51"/>
      <c r="D681" s="51"/>
      <c r="E681" s="51"/>
      <c r="F681" s="55"/>
      <c r="G681" s="56"/>
      <c r="H681" s="57"/>
      <c r="I681" s="51"/>
      <c r="J681" s="51"/>
      <c r="K681" s="58"/>
      <c r="L681" s="59"/>
      <c r="M681" s="58"/>
      <c r="N681" s="58"/>
      <c r="O681" s="51"/>
      <c r="P681" s="51"/>
      <c r="Q681" s="37"/>
      <c r="R681" s="70"/>
      <c r="S681" s="70"/>
      <c r="T681" s="70"/>
      <c r="U681" s="71"/>
      <c r="V681" s="73"/>
      <c r="W681" s="75"/>
      <c r="X681" s="117"/>
      <c r="Y681" s="111"/>
      <c r="Z681" s="111"/>
      <c r="AH681" s="18"/>
      <c r="AI681" s="18"/>
      <c r="AJ681" s="18"/>
      <c r="AK681" s="18"/>
      <c r="AL681" s="18"/>
      <c r="AM681" s="18"/>
      <c r="AN681" s="18"/>
    </row>
    <row r="682" spans="1:40">
      <c r="A682" s="51"/>
      <c r="B682" s="51"/>
      <c r="C682" s="51"/>
      <c r="D682" s="51"/>
      <c r="E682" s="51"/>
      <c r="F682" s="55"/>
      <c r="G682" s="56"/>
      <c r="H682" s="57"/>
      <c r="I682" s="51"/>
      <c r="J682" s="51"/>
      <c r="K682" s="58"/>
      <c r="L682" s="59"/>
      <c r="M682" s="58"/>
      <c r="N682" s="58"/>
      <c r="O682" s="51"/>
      <c r="P682" s="51"/>
      <c r="Q682" s="37"/>
      <c r="R682" s="70"/>
      <c r="S682" s="70"/>
      <c r="T682" s="70"/>
      <c r="U682" s="71"/>
      <c r="V682" s="73"/>
      <c r="W682" s="75"/>
      <c r="X682" s="117"/>
      <c r="Y682" s="111"/>
      <c r="Z682" s="111"/>
      <c r="AH682" s="18"/>
      <c r="AI682" s="18"/>
      <c r="AJ682" s="18"/>
      <c r="AK682" s="18"/>
      <c r="AL682" s="18"/>
      <c r="AM682" s="18"/>
      <c r="AN682" s="18"/>
    </row>
    <row r="683" spans="1:40">
      <c r="A683" s="51"/>
      <c r="B683" s="51"/>
      <c r="C683" s="51"/>
      <c r="D683" s="51"/>
      <c r="E683" s="51"/>
      <c r="F683" s="55"/>
      <c r="G683" s="56"/>
      <c r="H683" s="57"/>
      <c r="I683" s="51"/>
      <c r="J683" s="51"/>
      <c r="K683" s="58"/>
      <c r="L683" s="59"/>
      <c r="M683" s="58"/>
      <c r="N683" s="58"/>
      <c r="O683" s="51"/>
      <c r="P683" s="51"/>
      <c r="Q683" s="37"/>
      <c r="R683" s="70"/>
      <c r="S683" s="70"/>
      <c r="T683" s="70"/>
      <c r="U683" s="71"/>
      <c r="V683" s="73"/>
      <c r="W683" s="75"/>
      <c r="X683" s="117"/>
      <c r="Y683" s="111"/>
      <c r="Z683" s="111"/>
      <c r="AH683" s="18"/>
      <c r="AI683" s="18"/>
      <c r="AJ683" s="18"/>
      <c r="AK683" s="18"/>
      <c r="AL683" s="18"/>
      <c r="AM683" s="18"/>
      <c r="AN683" s="18"/>
    </row>
    <row r="684" spans="1:40">
      <c r="A684" s="51"/>
      <c r="B684" s="51"/>
      <c r="C684" s="51"/>
      <c r="D684" s="51"/>
      <c r="E684" s="51"/>
      <c r="F684" s="55"/>
      <c r="G684" s="56"/>
      <c r="H684" s="57"/>
      <c r="I684" s="51"/>
      <c r="J684" s="51"/>
      <c r="K684" s="58"/>
      <c r="L684" s="59"/>
      <c r="M684" s="58"/>
      <c r="N684" s="58"/>
      <c r="O684" s="51"/>
      <c r="P684" s="51"/>
      <c r="Q684" s="37"/>
      <c r="R684" s="70"/>
      <c r="S684" s="70"/>
      <c r="T684" s="70"/>
      <c r="U684" s="71"/>
      <c r="V684" s="73"/>
      <c r="W684" s="75"/>
      <c r="X684" s="117"/>
      <c r="Y684" s="111"/>
      <c r="Z684" s="111"/>
      <c r="AH684" s="18"/>
      <c r="AI684" s="18"/>
      <c r="AJ684" s="18"/>
      <c r="AK684" s="18"/>
      <c r="AL684" s="18"/>
      <c r="AM684" s="18"/>
      <c r="AN684" s="18"/>
    </row>
    <row r="685" spans="1:40">
      <c r="A685" s="51"/>
      <c r="B685" s="51"/>
      <c r="C685" s="51"/>
      <c r="D685" s="51"/>
      <c r="E685" s="51"/>
      <c r="F685" s="55"/>
      <c r="G685" s="56"/>
      <c r="H685" s="57"/>
      <c r="I685" s="51"/>
      <c r="J685" s="51"/>
      <c r="K685" s="58"/>
      <c r="L685" s="59"/>
      <c r="M685" s="58"/>
      <c r="N685" s="58"/>
      <c r="O685" s="51"/>
      <c r="P685" s="51"/>
      <c r="Q685" s="37"/>
      <c r="R685" s="70"/>
      <c r="S685" s="70"/>
      <c r="T685" s="70"/>
      <c r="U685" s="71"/>
      <c r="V685" s="73"/>
      <c r="W685" s="75"/>
      <c r="X685" s="117"/>
      <c r="Y685" s="111"/>
      <c r="Z685" s="111"/>
      <c r="AH685" s="18"/>
      <c r="AI685" s="18"/>
      <c r="AJ685" s="18"/>
      <c r="AK685" s="18"/>
      <c r="AL685" s="18"/>
      <c r="AM685" s="18"/>
      <c r="AN685" s="18"/>
    </row>
    <row r="686" spans="1:40">
      <c r="A686" s="51"/>
      <c r="B686" s="51"/>
      <c r="C686" s="51"/>
      <c r="D686" s="51"/>
      <c r="E686" s="51"/>
      <c r="F686" s="55"/>
      <c r="G686" s="56"/>
      <c r="H686" s="57"/>
      <c r="I686" s="51"/>
      <c r="J686" s="51"/>
      <c r="K686" s="58"/>
      <c r="L686" s="59"/>
      <c r="M686" s="58"/>
      <c r="N686" s="58"/>
      <c r="O686" s="51"/>
      <c r="P686" s="51"/>
      <c r="Q686" s="37"/>
      <c r="R686" s="70"/>
      <c r="S686" s="70"/>
      <c r="T686" s="70"/>
      <c r="U686" s="71"/>
      <c r="V686" s="73"/>
      <c r="W686" s="75"/>
      <c r="X686" s="117"/>
      <c r="Y686" s="111"/>
      <c r="Z686" s="111"/>
      <c r="AH686" s="18"/>
      <c r="AI686" s="18"/>
      <c r="AJ686" s="18"/>
      <c r="AK686" s="18"/>
      <c r="AL686" s="18"/>
      <c r="AM686" s="18"/>
      <c r="AN686" s="18"/>
    </row>
    <row r="687" spans="1:40">
      <c r="A687" s="51"/>
      <c r="B687" s="51"/>
      <c r="C687" s="51"/>
      <c r="D687" s="51"/>
      <c r="E687" s="51"/>
      <c r="F687" s="55"/>
      <c r="G687" s="56"/>
      <c r="H687" s="57"/>
      <c r="I687" s="51"/>
      <c r="J687" s="51"/>
      <c r="K687" s="58"/>
      <c r="L687" s="59"/>
      <c r="M687" s="58"/>
      <c r="N687" s="58"/>
      <c r="O687" s="51"/>
      <c r="P687" s="51"/>
      <c r="Q687" s="37"/>
      <c r="R687" s="70"/>
      <c r="S687" s="70"/>
      <c r="T687" s="70"/>
      <c r="U687" s="71"/>
      <c r="V687" s="73"/>
      <c r="W687" s="75"/>
      <c r="X687" s="117"/>
      <c r="Y687" s="111"/>
      <c r="Z687" s="111"/>
      <c r="AH687" s="18"/>
      <c r="AI687" s="18"/>
      <c r="AJ687" s="18"/>
      <c r="AK687" s="18"/>
      <c r="AL687" s="18"/>
      <c r="AM687" s="18"/>
      <c r="AN687" s="18"/>
    </row>
    <row r="688" spans="1:40">
      <c r="A688" s="51"/>
      <c r="B688" s="51"/>
      <c r="C688" s="51"/>
      <c r="D688" s="51"/>
      <c r="E688" s="51"/>
      <c r="F688" s="55"/>
      <c r="G688" s="56"/>
      <c r="H688" s="57"/>
      <c r="I688" s="51"/>
      <c r="J688" s="51"/>
      <c r="K688" s="58"/>
      <c r="L688" s="59"/>
      <c r="M688" s="58"/>
      <c r="N688" s="58"/>
      <c r="O688" s="51"/>
      <c r="P688" s="51"/>
      <c r="Q688" s="37"/>
      <c r="R688" s="70"/>
      <c r="S688" s="70"/>
      <c r="T688" s="70"/>
      <c r="U688" s="71"/>
      <c r="V688" s="73"/>
      <c r="W688" s="75"/>
      <c r="X688" s="117"/>
      <c r="Y688" s="111"/>
      <c r="Z688" s="111"/>
      <c r="AH688" s="18"/>
      <c r="AI688" s="18"/>
      <c r="AJ688" s="18"/>
      <c r="AK688" s="18"/>
      <c r="AL688" s="18"/>
      <c r="AM688" s="18"/>
      <c r="AN688" s="18"/>
    </row>
    <row r="689" spans="1:40">
      <c r="A689" s="51"/>
      <c r="B689" s="51"/>
      <c r="C689" s="51"/>
      <c r="D689" s="51"/>
      <c r="E689" s="51"/>
      <c r="F689" s="55"/>
      <c r="G689" s="56"/>
      <c r="H689" s="57"/>
      <c r="I689" s="51"/>
      <c r="J689" s="51"/>
      <c r="K689" s="58"/>
      <c r="L689" s="59"/>
      <c r="M689" s="58"/>
      <c r="N689" s="58"/>
      <c r="O689" s="51"/>
      <c r="P689" s="51"/>
      <c r="Q689" s="37"/>
      <c r="R689" s="70"/>
      <c r="S689" s="70"/>
      <c r="T689" s="70"/>
      <c r="U689" s="71"/>
      <c r="V689" s="73"/>
      <c r="W689" s="75"/>
      <c r="X689" s="117"/>
      <c r="Y689" s="111"/>
      <c r="Z689" s="111"/>
      <c r="AH689" s="18"/>
      <c r="AI689" s="18"/>
      <c r="AJ689" s="18"/>
      <c r="AK689" s="18"/>
      <c r="AL689" s="18"/>
      <c r="AM689" s="18"/>
      <c r="AN689" s="18"/>
    </row>
    <row r="690" spans="1:40">
      <c r="A690" s="51"/>
      <c r="B690" s="51"/>
      <c r="C690" s="51"/>
      <c r="D690" s="51"/>
      <c r="E690" s="51"/>
      <c r="F690" s="55"/>
      <c r="G690" s="56"/>
      <c r="H690" s="57"/>
      <c r="I690" s="51"/>
      <c r="J690" s="51"/>
      <c r="K690" s="58"/>
      <c r="L690" s="59"/>
      <c r="M690" s="58"/>
      <c r="N690" s="58"/>
      <c r="O690" s="51"/>
      <c r="P690" s="51"/>
      <c r="Q690" s="37"/>
      <c r="R690" s="70"/>
      <c r="S690" s="70"/>
      <c r="T690" s="70"/>
      <c r="U690" s="71"/>
      <c r="V690" s="73"/>
      <c r="W690" s="75"/>
      <c r="X690" s="117"/>
      <c r="Y690" s="111"/>
      <c r="Z690" s="111"/>
      <c r="AH690" s="18"/>
      <c r="AI690" s="18"/>
      <c r="AJ690" s="18"/>
      <c r="AK690" s="18"/>
      <c r="AL690" s="18"/>
      <c r="AM690" s="18"/>
      <c r="AN690" s="18"/>
    </row>
    <row r="691" spans="1:40">
      <c r="A691" s="51"/>
      <c r="B691" s="51"/>
      <c r="C691" s="51"/>
      <c r="D691" s="51"/>
      <c r="E691" s="51"/>
      <c r="F691" s="55"/>
      <c r="G691" s="56"/>
      <c r="H691" s="57"/>
      <c r="I691" s="51"/>
      <c r="J691" s="51"/>
      <c r="K691" s="58"/>
      <c r="L691" s="59"/>
      <c r="M691" s="58"/>
      <c r="N691" s="58"/>
      <c r="O691" s="51"/>
      <c r="P691" s="51"/>
      <c r="Q691" s="37"/>
      <c r="R691" s="70"/>
      <c r="S691" s="70"/>
      <c r="T691" s="70"/>
      <c r="U691" s="71"/>
      <c r="V691" s="73"/>
      <c r="W691" s="75"/>
      <c r="X691" s="117"/>
      <c r="Y691" s="111"/>
      <c r="Z691" s="111"/>
      <c r="AH691" s="18"/>
      <c r="AI691" s="18"/>
      <c r="AJ691" s="18"/>
      <c r="AK691" s="18"/>
      <c r="AL691" s="18"/>
      <c r="AM691" s="18"/>
      <c r="AN691" s="18"/>
    </row>
    <row r="692" spans="1:40">
      <c r="A692" s="51"/>
      <c r="B692" s="51"/>
      <c r="C692" s="51"/>
      <c r="D692" s="51"/>
      <c r="E692" s="51"/>
      <c r="F692" s="55"/>
      <c r="G692" s="56"/>
      <c r="H692" s="57"/>
      <c r="I692" s="51"/>
      <c r="J692" s="51"/>
      <c r="K692" s="58"/>
      <c r="L692" s="59"/>
      <c r="M692" s="58"/>
      <c r="N692" s="58"/>
      <c r="O692" s="51"/>
      <c r="P692" s="51"/>
      <c r="Q692" s="37"/>
      <c r="R692" s="70"/>
      <c r="S692" s="70"/>
      <c r="T692" s="70"/>
      <c r="U692" s="71"/>
      <c r="V692" s="73"/>
      <c r="W692" s="75"/>
      <c r="X692" s="117"/>
      <c r="Y692" s="111"/>
      <c r="Z692" s="111"/>
      <c r="AH692" s="18"/>
      <c r="AI692" s="18"/>
      <c r="AJ692" s="18"/>
      <c r="AK692" s="18"/>
      <c r="AL692" s="18"/>
      <c r="AM692" s="18"/>
      <c r="AN692" s="18"/>
    </row>
    <row r="693" spans="1:40">
      <c r="A693" s="51"/>
      <c r="B693" s="51"/>
      <c r="C693" s="51"/>
      <c r="D693" s="51"/>
      <c r="E693" s="51"/>
      <c r="F693" s="55"/>
      <c r="G693" s="56"/>
      <c r="H693" s="57"/>
      <c r="I693" s="51"/>
      <c r="J693" s="51"/>
      <c r="K693" s="58"/>
      <c r="L693" s="59"/>
      <c r="M693" s="58"/>
      <c r="N693" s="58"/>
      <c r="O693" s="51"/>
      <c r="P693" s="51"/>
      <c r="Q693" s="37"/>
      <c r="R693" s="70"/>
      <c r="S693" s="70"/>
      <c r="T693" s="70"/>
      <c r="U693" s="71"/>
      <c r="V693" s="73"/>
      <c r="W693" s="75"/>
      <c r="X693" s="117"/>
      <c r="Y693" s="111"/>
      <c r="Z693" s="111"/>
      <c r="AH693" s="18"/>
      <c r="AI693" s="18"/>
      <c r="AJ693" s="18"/>
      <c r="AK693" s="18"/>
      <c r="AL693" s="18"/>
      <c r="AM693" s="18"/>
      <c r="AN693" s="18"/>
    </row>
    <row r="694" spans="1:40">
      <c r="A694" s="51"/>
      <c r="B694" s="51"/>
      <c r="C694" s="51"/>
      <c r="D694" s="51"/>
      <c r="E694" s="51"/>
      <c r="F694" s="55"/>
      <c r="G694" s="56"/>
      <c r="H694" s="57"/>
      <c r="I694" s="51"/>
      <c r="J694" s="51"/>
      <c r="K694" s="58"/>
      <c r="L694" s="59"/>
      <c r="M694" s="58"/>
      <c r="N694" s="58"/>
      <c r="O694" s="51"/>
      <c r="P694" s="51"/>
      <c r="Q694" s="37"/>
      <c r="R694" s="70"/>
      <c r="S694" s="70"/>
      <c r="T694" s="70"/>
      <c r="U694" s="71"/>
      <c r="V694" s="73"/>
      <c r="W694" s="75"/>
      <c r="X694" s="117"/>
      <c r="Y694" s="111"/>
      <c r="Z694" s="111"/>
      <c r="AH694" s="18"/>
      <c r="AI694" s="18"/>
      <c r="AJ694" s="18"/>
      <c r="AK694" s="18"/>
      <c r="AL694" s="18"/>
      <c r="AM694" s="18"/>
      <c r="AN694" s="18"/>
    </row>
    <row r="695" spans="1:40">
      <c r="A695" s="51"/>
      <c r="B695" s="51"/>
      <c r="C695" s="51"/>
      <c r="D695" s="51"/>
      <c r="E695" s="51"/>
      <c r="F695" s="55"/>
      <c r="G695" s="56"/>
      <c r="H695" s="57"/>
      <c r="I695" s="51"/>
      <c r="J695" s="51"/>
      <c r="K695" s="58"/>
      <c r="L695" s="59"/>
      <c r="M695" s="58"/>
      <c r="N695" s="58"/>
      <c r="O695" s="51"/>
      <c r="P695" s="51"/>
      <c r="Q695" s="37"/>
      <c r="R695" s="70"/>
      <c r="S695" s="70"/>
      <c r="T695" s="70"/>
      <c r="U695" s="71"/>
      <c r="V695" s="73"/>
      <c r="W695" s="75"/>
      <c r="X695" s="117"/>
      <c r="Y695" s="111"/>
      <c r="Z695" s="111"/>
      <c r="AH695" s="18"/>
      <c r="AI695" s="18"/>
      <c r="AJ695" s="18"/>
      <c r="AK695" s="18"/>
      <c r="AL695" s="18"/>
      <c r="AM695" s="18"/>
      <c r="AN695" s="18"/>
    </row>
    <row r="696" spans="1:40">
      <c r="A696" s="51"/>
      <c r="B696" s="51"/>
      <c r="C696" s="51"/>
      <c r="D696" s="51"/>
      <c r="E696" s="51"/>
      <c r="F696" s="55"/>
      <c r="G696" s="56"/>
      <c r="H696" s="57"/>
      <c r="I696" s="51"/>
      <c r="J696" s="51"/>
      <c r="K696" s="58"/>
      <c r="L696" s="59"/>
      <c r="M696" s="58"/>
      <c r="N696" s="58"/>
      <c r="O696" s="51"/>
      <c r="P696" s="51"/>
      <c r="Q696" s="37"/>
      <c r="R696" s="70"/>
      <c r="S696" s="70"/>
      <c r="T696" s="70"/>
      <c r="U696" s="71"/>
      <c r="V696" s="73"/>
      <c r="W696" s="75"/>
      <c r="X696" s="117"/>
      <c r="Y696" s="111"/>
      <c r="Z696" s="111"/>
      <c r="AH696" s="18"/>
      <c r="AI696" s="18"/>
      <c r="AJ696" s="18"/>
      <c r="AK696" s="18"/>
      <c r="AL696" s="18"/>
      <c r="AM696" s="18"/>
      <c r="AN696" s="18"/>
    </row>
    <row r="697" spans="1:40">
      <c r="A697" s="51"/>
      <c r="B697" s="51"/>
      <c r="C697" s="51"/>
      <c r="D697" s="51"/>
      <c r="E697" s="51"/>
      <c r="F697" s="55"/>
      <c r="G697" s="56"/>
      <c r="H697" s="57"/>
      <c r="I697" s="51"/>
      <c r="J697" s="51"/>
      <c r="K697" s="58"/>
      <c r="L697" s="59"/>
      <c r="M697" s="58"/>
      <c r="N697" s="58"/>
      <c r="O697" s="51"/>
      <c r="P697" s="51"/>
      <c r="Q697" s="37"/>
      <c r="R697" s="70"/>
      <c r="S697" s="70"/>
      <c r="T697" s="70"/>
      <c r="U697" s="71"/>
      <c r="V697" s="73"/>
      <c r="W697" s="75"/>
      <c r="X697" s="117"/>
      <c r="Y697" s="111"/>
      <c r="Z697" s="111"/>
      <c r="AH697" s="18"/>
      <c r="AI697" s="18"/>
      <c r="AJ697" s="18"/>
      <c r="AK697" s="18"/>
      <c r="AL697" s="18"/>
      <c r="AM697" s="18"/>
      <c r="AN697" s="18"/>
    </row>
    <row r="698" spans="1:40">
      <c r="A698" s="51"/>
      <c r="B698" s="51"/>
      <c r="C698" s="51"/>
      <c r="D698" s="51"/>
      <c r="E698" s="51"/>
      <c r="F698" s="55"/>
      <c r="G698" s="56"/>
      <c r="H698" s="57"/>
      <c r="I698" s="51"/>
      <c r="J698" s="51"/>
      <c r="K698" s="58"/>
      <c r="L698" s="59"/>
      <c r="M698" s="58"/>
      <c r="N698" s="58"/>
      <c r="O698" s="51"/>
      <c r="P698" s="51"/>
      <c r="Q698" s="37"/>
      <c r="R698" s="70"/>
      <c r="S698" s="70"/>
      <c r="T698" s="70"/>
      <c r="U698" s="71"/>
      <c r="V698" s="73"/>
      <c r="W698" s="75"/>
      <c r="X698" s="117"/>
      <c r="Y698" s="111"/>
      <c r="Z698" s="111"/>
      <c r="AH698" s="18"/>
      <c r="AI698" s="18"/>
      <c r="AJ698" s="18"/>
      <c r="AK698" s="18"/>
      <c r="AL698" s="18"/>
      <c r="AM698" s="18"/>
      <c r="AN698" s="18"/>
    </row>
    <row r="699" spans="1:40">
      <c r="A699" s="51"/>
      <c r="B699" s="51"/>
      <c r="C699" s="51"/>
      <c r="D699" s="51"/>
      <c r="E699" s="51"/>
      <c r="F699" s="55"/>
      <c r="G699" s="56"/>
      <c r="H699" s="57"/>
      <c r="I699" s="51"/>
      <c r="J699" s="51"/>
      <c r="K699" s="58"/>
      <c r="L699" s="59"/>
      <c r="M699" s="58"/>
      <c r="N699" s="58"/>
      <c r="O699" s="51"/>
      <c r="P699" s="51"/>
      <c r="Q699" s="37"/>
      <c r="R699" s="70"/>
      <c r="S699" s="70"/>
      <c r="T699" s="70"/>
      <c r="U699" s="71"/>
      <c r="V699" s="73"/>
      <c r="W699" s="75"/>
      <c r="X699" s="117"/>
      <c r="Y699" s="111"/>
      <c r="Z699" s="111"/>
      <c r="AH699" s="18"/>
      <c r="AI699" s="18"/>
      <c r="AJ699" s="18"/>
      <c r="AK699" s="18"/>
      <c r="AL699" s="18"/>
      <c r="AM699" s="18"/>
      <c r="AN699" s="18"/>
    </row>
    <row r="700" spans="1:40">
      <c r="A700" s="51"/>
      <c r="B700" s="51"/>
      <c r="C700" s="51"/>
      <c r="D700" s="51"/>
      <c r="E700" s="51"/>
      <c r="F700" s="55"/>
      <c r="G700" s="56"/>
      <c r="H700" s="57"/>
      <c r="I700" s="51"/>
      <c r="J700" s="51"/>
      <c r="K700" s="58"/>
      <c r="L700" s="59"/>
      <c r="M700" s="58"/>
      <c r="N700" s="58"/>
      <c r="O700" s="51"/>
      <c r="P700" s="51"/>
      <c r="Q700" s="37"/>
      <c r="R700" s="70"/>
      <c r="S700" s="70"/>
      <c r="T700" s="70"/>
      <c r="U700" s="71"/>
      <c r="V700" s="73"/>
      <c r="W700" s="75"/>
      <c r="X700" s="117"/>
      <c r="Y700" s="111"/>
      <c r="Z700" s="111"/>
      <c r="AH700" s="18"/>
      <c r="AI700" s="18"/>
      <c r="AJ700" s="18"/>
      <c r="AK700" s="18"/>
      <c r="AL700" s="18"/>
      <c r="AM700" s="18"/>
      <c r="AN700" s="18"/>
    </row>
    <row r="701" spans="1:40">
      <c r="A701" s="51"/>
      <c r="B701" s="51"/>
      <c r="C701" s="51"/>
      <c r="D701" s="51"/>
      <c r="E701" s="51"/>
      <c r="F701" s="55"/>
      <c r="G701" s="56"/>
      <c r="H701" s="57"/>
      <c r="I701" s="51"/>
      <c r="J701" s="51"/>
      <c r="K701" s="58"/>
      <c r="L701" s="59"/>
      <c r="M701" s="58"/>
      <c r="N701" s="58"/>
      <c r="O701" s="51"/>
      <c r="P701" s="51"/>
      <c r="Q701" s="37"/>
      <c r="R701" s="70"/>
      <c r="S701" s="70"/>
      <c r="T701" s="70"/>
      <c r="U701" s="71"/>
      <c r="V701" s="73"/>
      <c r="W701" s="75"/>
      <c r="X701" s="117"/>
      <c r="Y701" s="111"/>
      <c r="Z701" s="111"/>
      <c r="AH701" s="18"/>
      <c r="AI701" s="18"/>
      <c r="AJ701" s="18"/>
      <c r="AK701" s="18"/>
      <c r="AL701" s="18"/>
      <c r="AM701" s="18"/>
      <c r="AN701" s="18"/>
    </row>
    <row r="702" spans="1:40">
      <c r="A702" s="51"/>
      <c r="B702" s="51"/>
      <c r="C702" s="51"/>
      <c r="D702" s="51"/>
      <c r="E702" s="51"/>
      <c r="F702" s="55"/>
      <c r="G702" s="56"/>
      <c r="H702" s="57"/>
      <c r="I702" s="51"/>
      <c r="J702" s="51"/>
      <c r="K702" s="58"/>
      <c r="L702" s="59"/>
      <c r="M702" s="58"/>
      <c r="N702" s="58"/>
      <c r="O702" s="51"/>
      <c r="P702" s="51"/>
      <c r="Q702" s="37"/>
      <c r="R702" s="70"/>
      <c r="S702" s="70"/>
      <c r="T702" s="70"/>
      <c r="U702" s="71"/>
      <c r="V702" s="73"/>
      <c r="W702" s="75"/>
      <c r="X702" s="117"/>
      <c r="Y702" s="111"/>
      <c r="Z702" s="111"/>
      <c r="AH702" s="18"/>
      <c r="AI702" s="18"/>
      <c r="AJ702" s="18"/>
      <c r="AK702" s="18"/>
      <c r="AL702" s="18"/>
      <c r="AM702" s="18"/>
      <c r="AN702" s="18"/>
    </row>
    <row r="703" spans="1:40">
      <c r="A703" s="51"/>
      <c r="B703" s="51"/>
      <c r="C703" s="51"/>
      <c r="D703" s="51"/>
      <c r="E703" s="51"/>
      <c r="F703" s="55"/>
      <c r="G703" s="56"/>
      <c r="H703" s="57"/>
      <c r="I703" s="51"/>
      <c r="J703" s="51"/>
      <c r="K703" s="58"/>
      <c r="L703" s="59"/>
      <c r="M703" s="58"/>
      <c r="N703" s="58"/>
      <c r="O703" s="51"/>
      <c r="P703" s="51"/>
      <c r="Q703" s="37"/>
      <c r="R703" s="70"/>
      <c r="S703" s="70"/>
      <c r="T703" s="70"/>
      <c r="U703" s="71"/>
      <c r="V703" s="73"/>
      <c r="W703" s="75"/>
      <c r="X703" s="117"/>
      <c r="Y703" s="111"/>
      <c r="Z703" s="111"/>
      <c r="AH703" s="18"/>
      <c r="AI703" s="18"/>
      <c r="AJ703" s="18"/>
      <c r="AK703" s="18"/>
      <c r="AL703" s="18"/>
      <c r="AM703" s="18"/>
      <c r="AN703" s="18"/>
    </row>
    <row r="704" spans="1:40">
      <c r="A704" s="51"/>
      <c r="B704" s="51"/>
      <c r="C704" s="51"/>
      <c r="D704" s="51"/>
      <c r="E704" s="51"/>
      <c r="F704" s="55"/>
      <c r="G704" s="56"/>
      <c r="H704" s="57"/>
      <c r="I704" s="51"/>
      <c r="J704" s="51"/>
      <c r="K704" s="58"/>
      <c r="L704" s="59"/>
      <c r="M704" s="58"/>
      <c r="N704" s="58"/>
      <c r="O704" s="51"/>
      <c r="P704" s="51"/>
      <c r="Q704" s="37"/>
      <c r="R704" s="70"/>
      <c r="S704" s="70"/>
      <c r="T704" s="70"/>
      <c r="U704" s="71"/>
      <c r="V704" s="73"/>
      <c r="W704" s="75"/>
      <c r="X704" s="117"/>
      <c r="Y704" s="111"/>
      <c r="Z704" s="111"/>
      <c r="AH704" s="18"/>
      <c r="AI704" s="18"/>
      <c r="AJ704" s="18"/>
      <c r="AK704" s="18"/>
      <c r="AL704" s="18"/>
      <c r="AM704" s="18"/>
      <c r="AN704" s="18"/>
    </row>
    <row r="705" spans="1:40">
      <c r="A705" s="51"/>
      <c r="B705" s="51"/>
      <c r="C705" s="51"/>
      <c r="D705" s="51"/>
      <c r="E705" s="51"/>
      <c r="F705" s="55"/>
      <c r="G705" s="56"/>
      <c r="H705" s="57"/>
      <c r="I705" s="51"/>
      <c r="J705" s="51"/>
      <c r="K705" s="58"/>
      <c r="L705" s="59"/>
      <c r="M705" s="58"/>
      <c r="N705" s="58"/>
      <c r="O705" s="51"/>
      <c r="P705" s="51"/>
      <c r="Q705" s="37"/>
      <c r="R705" s="70"/>
      <c r="S705" s="70"/>
      <c r="T705" s="70"/>
      <c r="U705" s="71"/>
      <c r="V705" s="73"/>
      <c r="W705" s="75"/>
      <c r="X705" s="117"/>
      <c r="Y705" s="111"/>
      <c r="Z705" s="111"/>
      <c r="AH705" s="18"/>
      <c r="AI705" s="18"/>
      <c r="AJ705" s="18"/>
      <c r="AK705" s="18"/>
      <c r="AL705" s="18"/>
      <c r="AM705" s="18"/>
      <c r="AN705" s="18"/>
    </row>
    <row r="706" spans="1:40">
      <c r="A706" s="51"/>
      <c r="B706" s="51"/>
      <c r="C706" s="51"/>
      <c r="D706" s="51"/>
      <c r="E706" s="51"/>
      <c r="F706" s="55"/>
      <c r="G706" s="56"/>
      <c r="H706" s="57"/>
      <c r="I706" s="51"/>
      <c r="J706" s="51"/>
      <c r="K706" s="58"/>
      <c r="L706" s="59"/>
      <c r="M706" s="58"/>
      <c r="N706" s="58"/>
      <c r="O706" s="51"/>
      <c r="P706" s="51"/>
      <c r="Q706" s="37"/>
      <c r="R706" s="70"/>
      <c r="S706" s="70"/>
      <c r="T706" s="70"/>
      <c r="U706" s="71"/>
      <c r="V706" s="73"/>
      <c r="W706" s="75"/>
      <c r="X706" s="117"/>
      <c r="Y706" s="111"/>
      <c r="Z706" s="111"/>
      <c r="AH706" s="18"/>
      <c r="AI706" s="18"/>
      <c r="AJ706" s="18"/>
      <c r="AK706" s="18"/>
      <c r="AL706" s="18"/>
      <c r="AM706" s="18"/>
      <c r="AN706" s="18"/>
    </row>
    <row r="707" spans="1:40">
      <c r="A707" s="51"/>
      <c r="B707" s="51"/>
      <c r="C707" s="51"/>
      <c r="D707" s="51"/>
      <c r="E707" s="51"/>
      <c r="F707" s="55"/>
      <c r="G707" s="56"/>
      <c r="H707" s="57"/>
      <c r="I707" s="51"/>
      <c r="J707" s="51"/>
      <c r="K707" s="58"/>
      <c r="L707" s="59"/>
      <c r="M707" s="58"/>
      <c r="N707" s="58"/>
      <c r="O707" s="51"/>
      <c r="P707" s="51"/>
      <c r="Q707" s="37"/>
      <c r="R707" s="70"/>
      <c r="S707" s="70"/>
      <c r="T707" s="70"/>
      <c r="U707" s="71"/>
      <c r="V707" s="73"/>
      <c r="W707" s="75"/>
      <c r="X707" s="117"/>
      <c r="Y707" s="111"/>
      <c r="Z707" s="111"/>
      <c r="AH707" s="18"/>
      <c r="AI707" s="18"/>
      <c r="AJ707" s="18"/>
      <c r="AK707" s="18"/>
      <c r="AL707" s="18"/>
      <c r="AM707" s="18"/>
      <c r="AN707" s="18"/>
    </row>
    <row r="708" spans="1:40">
      <c r="A708" s="51"/>
      <c r="B708" s="51"/>
      <c r="C708" s="51"/>
      <c r="D708" s="51"/>
      <c r="E708" s="51"/>
      <c r="F708" s="55"/>
      <c r="G708" s="56"/>
      <c r="H708" s="57"/>
      <c r="I708" s="51"/>
      <c r="J708" s="51"/>
      <c r="K708" s="58"/>
      <c r="L708" s="59"/>
      <c r="M708" s="58"/>
      <c r="N708" s="58"/>
      <c r="O708" s="51"/>
      <c r="P708" s="51"/>
      <c r="Q708" s="37"/>
      <c r="R708" s="70"/>
      <c r="S708" s="70"/>
      <c r="T708" s="70"/>
      <c r="U708" s="71"/>
      <c r="V708" s="73"/>
      <c r="W708" s="75"/>
      <c r="X708" s="117"/>
      <c r="Y708" s="111"/>
      <c r="Z708" s="111"/>
      <c r="AH708" s="18"/>
      <c r="AI708" s="18"/>
      <c r="AJ708" s="18"/>
      <c r="AK708" s="18"/>
      <c r="AL708" s="18"/>
      <c r="AM708" s="18"/>
      <c r="AN708" s="18"/>
    </row>
    <row r="709" spans="1:40">
      <c r="A709" s="51"/>
      <c r="B709" s="51"/>
      <c r="C709" s="51"/>
      <c r="D709" s="51"/>
      <c r="E709" s="51"/>
      <c r="F709" s="55"/>
      <c r="G709" s="56"/>
      <c r="H709" s="57"/>
      <c r="I709" s="51"/>
      <c r="J709" s="51"/>
      <c r="K709" s="58"/>
      <c r="L709" s="59"/>
      <c r="M709" s="58"/>
      <c r="N709" s="58"/>
      <c r="O709" s="51"/>
      <c r="P709" s="51"/>
      <c r="Q709" s="37"/>
      <c r="R709" s="70"/>
      <c r="S709" s="70"/>
      <c r="T709" s="70"/>
      <c r="U709" s="71"/>
      <c r="V709" s="73"/>
      <c r="W709" s="75"/>
      <c r="X709" s="117"/>
      <c r="Y709" s="111"/>
      <c r="Z709" s="111"/>
      <c r="AH709" s="18"/>
      <c r="AI709" s="18"/>
      <c r="AJ709" s="18"/>
      <c r="AK709" s="18"/>
      <c r="AL709" s="18"/>
      <c r="AM709" s="18"/>
      <c r="AN709" s="18"/>
    </row>
    <row r="710" spans="1:40">
      <c r="A710" s="51"/>
      <c r="B710" s="51"/>
      <c r="C710" s="51"/>
      <c r="D710" s="51"/>
      <c r="E710" s="51"/>
      <c r="F710" s="55"/>
      <c r="G710" s="56"/>
      <c r="H710" s="57"/>
      <c r="I710" s="51"/>
      <c r="J710" s="51"/>
      <c r="K710" s="58"/>
      <c r="L710" s="59"/>
      <c r="M710" s="58"/>
      <c r="N710" s="58"/>
      <c r="O710" s="51"/>
      <c r="P710" s="51"/>
      <c r="Q710" s="37"/>
      <c r="R710" s="70"/>
      <c r="S710" s="70"/>
      <c r="T710" s="70"/>
      <c r="U710" s="71"/>
      <c r="V710" s="73"/>
      <c r="W710" s="75"/>
      <c r="X710" s="117"/>
      <c r="Y710" s="111"/>
      <c r="Z710" s="111"/>
      <c r="AH710" s="18"/>
      <c r="AI710" s="18"/>
      <c r="AJ710" s="18"/>
      <c r="AK710" s="18"/>
      <c r="AL710" s="18"/>
      <c r="AM710" s="18"/>
      <c r="AN710" s="18"/>
    </row>
    <row r="711" spans="1:40">
      <c r="A711" s="51"/>
      <c r="B711" s="51"/>
      <c r="C711" s="51"/>
      <c r="D711" s="51"/>
      <c r="E711" s="51"/>
      <c r="F711" s="55"/>
      <c r="G711" s="56"/>
      <c r="H711" s="57"/>
      <c r="I711" s="51"/>
      <c r="J711" s="51"/>
      <c r="K711" s="58"/>
      <c r="L711" s="59"/>
      <c r="M711" s="58"/>
      <c r="N711" s="58"/>
      <c r="O711" s="51"/>
      <c r="P711" s="51"/>
      <c r="Q711" s="37"/>
      <c r="R711" s="70"/>
      <c r="S711" s="70"/>
      <c r="T711" s="70"/>
      <c r="U711" s="71"/>
      <c r="V711" s="73"/>
      <c r="W711" s="75"/>
      <c r="X711" s="117"/>
      <c r="Y711" s="111"/>
      <c r="Z711" s="111"/>
      <c r="AH711" s="18"/>
      <c r="AI711" s="18"/>
      <c r="AJ711" s="18"/>
      <c r="AK711" s="18"/>
      <c r="AL711" s="18"/>
      <c r="AM711" s="18"/>
      <c r="AN711" s="18"/>
    </row>
    <row r="712" spans="1:40">
      <c r="A712" s="51"/>
      <c r="B712" s="51"/>
      <c r="C712" s="51"/>
      <c r="D712" s="51"/>
      <c r="E712" s="51"/>
      <c r="F712" s="55"/>
      <c r="G712" s="56"/>
      <c r="H712" s="57"/>
      <c r="I712" s="51"/>
      <c r="J712" s="51"/>
      <c r="K712" s="58"/>
      <c r="L712" s="59"/>
      <c r="M712" s="58"/>
      <c r="N712" s="58"/>
      <c r="O712" s="51"/>
      <c r="P712" s="51"/>
      <c r="Q712" s="37"/>
      <c r="R712" s="70"/>
      <c r="S712" s="70"/>
      <c r="T712" s="70"/>
      <c r="U712" s="71"/>
      <c r="V712" s="73"/>
      <c r="W712" s="75"/>
      <c r="X712" s="117"/>
      <c r="Y712" s="111"/>
      <c r="Z712" s="111"/>
      <c r="AH712" s="18"/>
      <c r="AI712" s="18"/>
      <c r="AJ712" s="18"/>
      <c r="AK712" s="18"/>
      <c r="AL712" s="18"/>
      <c r="AM712" s="18"/>
      <c r="AN712" s="18"/>
    </row>
    <row r="713" spans="1:40">
      <c r="A713" s="51"/>
      <c r="B713" s="51"/>
      <c r="C713" s="51"/>
      <c r="D713" s="51"/>
      <c r="E713" s="51"/>
      <c r="F713" s="55"/>
      <c r="G713" s="56"/>
      <c r="H713" s="57"/>
      <c r="I713" s="51"/>
      <c r="J713" s="51"/>
      <c r="K713" s="58"/>
      <c r="L713" s="59"/>
      <c r="M713" s="58"/>
      <c r="N713" s="58"/>
      <c r="O713" s="51"/>
      <c r="P713" s="51"/>
      <c r="Q713" s="37"/>
      <c r="R713" s="70"/>
      <c r="S713" s="70"/>
      <c r="T713" s="70"/>
      <c r="U713" s="71"/>
      <c r="V713" s="73"/>
      <c r="W713" s="75"/>
      <c r="X713" s="117"/>
      <c r="Y713" s="111"/>
      <c r="Z713" s="111"/>
      <c r="AH713" s="18"/>
      <c r="AI713" s="18"/>
      <c r="AJ713" s="18"/>
      <c r="AK713" s="18"/>
      <c r="AL713" s="18"/>
      <c r="AM713" s="18"/>
      <c r="AN713" s="18"/>
    </row>
    <row r="714" spans="1:40">
      <c r="A714" s="51"/>
      <c r="B714" s="51"/>
      <c r="C714" s="51"/>
      <c r="D714" s="51"/>
      <c r="E714" s="51"/>
      <c r="F714" s="55"/>
      <c r="G714" s="56"/>
      <c r="H714" s="57"/>
      <c r="I714" s="51"/>
      <c r="J714" s="51"/>
      <c r="K714" s="58"/>
      <c r="L714" s="59"/>
      <c r="M714" s="58"/>
      <c r="N714" s="58"/>
      <c r="O714" s="51"/>
      <c r="P714" s="51"/>
      <c r="Q714" s="37"/>
      <c r="R714" s="70"/>
      <c r="S714" s="70"/>
      <c r="T714" s="70"/>
      <c r="U714" s="71"/>
      <c r="V714" s="73"/>
      <c r="W714" s="75"/>
      <c r="X714" s="117"/>
      <c r="Y714" s="111"/>
      <c r="Z714" s="111"/>
      <c r="AH714" s="18"/>
      <c r="AI714" s="18"/>
      <c r="AJ714" s="18"/>
      <c r="AK714" s="18"/>
      <c r="AL714" s="18"/>
      <c r="AM714" s="18"/>
      <c r="AN714" s="18"/>
    </row>
    <row r="715" spans="1:40">
      <c r="A715" s="51"/>
      <c r="B715" s="51"/>
      <c r="C715" s="51"/>
      <c r="D715" s="51"/>
      <c r="E715" s="51"/>
      <c r="F715" s="55"/>
      <c r="G715" s="56"/>
      <c r="H715" s="57"/>
      <c r="I715" s="51"/>
      <c r="J715" s="51"/>
      <c r="K715" s="58"/>
      <c r="L715" s="59"/>
      <c r="M715" s="58"/>
      <c r="N715" s="58"/>
      <c r="O715" s="51"/>
      <c r="P715" s="51"/>
      <c r="Q715" s="37"/>
      <c r="R715" s="70"/>
      <c r="S715" s="70"/>
      <c r="T715" s="70"/>
      <c r="U715" s="71"/>
      <c r="V715" s="73"/>
      <c r="W715" s="75"/>
      <c r="X715" s="117"/>
      <c r="Y715" s="111"/>
      <c r="Z715" s="111"/>
      <c r="AH715" s="18"/>
      <c r="AI715" s="18"/>
      <c r="AJ715" s="18"/>
      <c r="AK715" s="18"/>
      <c r="AL715" s="18"/>
      <c r="AM715" s="18"/>
      <c r="AN715" s="18"/>
    </row>
    <row r="716" spans="1:40">
      <c r="A716" s="51"/>
      <c r="B716" s="51"/>
      <c r="C716" s="51"/>
      <c r="D716" s="51"/>
      <c r="E716" s="51"/>
      <c r="F716" s="55"/>
      <c r="G716" s="56"/>
      <c r="H716" s="57"/>
      <c r="I716" s="51"/>
      <c r="J716" s="51"/>
      <c r="K716" s="58"/>
      <c r="L716" s="59"/>
      <c r="M716" s="58"/>
      <c r="N716" s="58"/>
      <c r="O716" s="51"/>
      <c r="P716" s="51"/>
      <c r="Q716" s="37"/>
      <c r="R716" s="70"/>
      <c r="S716" s="70"/>
      <c r="T716" s="70"/>
      <c r="U716" s="71"/>
      <c r="V716" s="73"/>
      <c r="W716" s="75"/>
      <c r="X716" s="117"/>
      <c r="Y716" s="111"/>
      <c r="Z716" s="111"/>
      <c r="AH716" s="18"/>
      <c r="AI716" s="18"/>
      <c r="AJ716" s="18"/>
      <c r="AK716" s="18"/>
      <c r="AL716" s="18"/>
      <c r="AM716" s="18"/>
      <c r="AN716" s="18"/>
    </row>
    <row r="717" spans="1:40">
      <c r="A717" s="51"/>
      <c r="B717" s="51"/>
      <c r="C717" s="51"/>
      <c r="D717" s="51"/>
      <c r="E717" s="51"/>
      <c r="F717" s="55"/>
      <c r="G717" s="56"/>
      <c r="H717" s="57"/>
      <c r="I717" s="51"/>
      <c r="J717" s="51"/>
      <c r="K717" s="58"/>
      <c r="L717" s="59"/>
      <c r="M717" s="58"/>
      <c r="N717" s="58"/>
      <c r="O717" s="51"/>
      <c r="P717" s="51"/>
      <c r="Q717" s="37"/>
      <c r="R717" s="70"/>
      <c r="S717" s="70"/>
      <c r="T717" s="70"/>
      <c r="U717" s="71"/>
      <c r="V717" s="73"/>
      <c r="W717" s="75"/>
      <c r="X717" s="117"/>
      <c r="Y717" s="111"/>
      <c r="Z717" s="111"/>
      <c r="AH717" s="18"/>
      <c r="AI717" s="18"/>
      <c r="AJ717" s="18"/>
      <c r="AK717" s="18"/>
      <c r="AL717" s="18"/>
      <c r="AM717" s="18"/>
      <c r="AN717" s="18"/>
    </row>
    <row r="718" spans="1:40">
      <c r="A718" s="51"/>
      <c r="B718" s="51"/>
      <c r="C718" s="51"/>
      <c r="D718" s="51"/>
      <c r="E718" s="51"/>
      <c r="F718" s="55"/>
      <c r="G718" s="56"/>
      <c r="H718" s="57"/>
      <c r="I718" s="51"/>
      <c r="J718" s="51"/>
      <c r="K718" s="58"/>
      <c r="L718" s="59"/>
      <c r="M718" s="58"/>
      <c r="N718" s="58"/>
      <c r="O718" s="51"/>
      <c r="P718" s="51"/>
      <c r="Q718" s="37"/>
      <c r="R718" s="70"/>
      <c r="S718" s="70"/>
      <c r="T718" s="70"/>
      <c r="U718" s="71"/>
      <c r="V718" s="73"/>
      <c r="W718" s="75"/>
      <c r="X718" s="117"/>
      <c r="Y718" s="111"/>
      <c r="Z718" s="111"/>
      <c r="AH718" s="18"/>
      <c r="AI718" s="18"/>
      <c r="AJ718" s="18"/>
      <c r="AK718" s="18"/>
      <c r="AL718" s="18"/>
      <c r="AM718" s="18"/>
      <c r="AN718" s="18"/>
    </row>
    <row r="719" spans="1:40">
      <c r="A719" s="51"/>
      <c r="B719" s="51"/>
      <c r="C719" s="51"/>
      <c r="D719" s="51"/>
      <c r="E719" s="51"/>
      <c r="F719" s="55"/>
      <c r="G719" s="56"/>
      <c r="H719" s="57"/>
      <c r="I719" s="51"/>
      <c r="J719" s="51"/>
      <c r="K719" s="58"/>
      <c r="L719" s="59"/>
      <c r="M719" s="58"/>
      <c r="N719" s="58"/>
      <c r="O719" s="51"/>
      <c r="P719" s="51"/>
      <c r="Q719" s="37"/>
      <c r="R719" s="70"/>
      <c r="S719" s="70"/>
      <c r="T719" s="70"/>
      <c r="U719" s="71"/>
      <c r="V719" s="73"/>
      <c r="W719" s="75"/>
      <c r="X719" s="117"/>
      <c r="Y719" s="111"/>
      <c r="Z719" s="111"/>
      <c r="AH719" s="18"/>
      <c r="AI719" s="18"/>
      <c r="AJ719" s="18"/>
      <c r="AK719" s="18"/>
      <c r="AL719" s="18"/>
      <c r="AM719" s="18"/>
      <c r="AN719" s="18"/>
    </row>
    <row r="720" spans="1:40">
      <c r="A720" s="51"/>
      <c r="B720" s="51"/>
      <c r="C720" s="51"/>
      <c r="D720" s="51"/>
      <c r="E720" s="51"/>
      <c r="F720" s="55"/>
      <c r="G720" s="56"/>
      <c r="H720" s="57"/>
      <c r="I720" s="51"/>
      <c r="J720" s="51"/>
      <c r="K720" s="58"/>
      <c r="L720" s="59"/>
      <c r="M720" s="58"/>
      <c r="N720" s="58"/>
      <c r="O720" s="51"/>
      <c r="P720" s="51"/>
      <c r="Q720" s="37"/>
      <c r="R720" s="70"/>
      <c r="S720" s="70"/>
      <c r="T720" s="70"/>
      <c r="U720" s="71"/>
      <c r="V720" s="73"/>
      <c r="W720" s="75"/>
      <c r="X720" s="117"/>
      <c r="Y720" s="111"/>
      <c r="Z720" s="111"/>
      <c r="AH720" s="18"/>
      <c r="AI720" s="18"/>
      <c r="AJ720" s="18"/>
      <c r="AK720" s="18"/>
      <c r="AL720" s="18"/>
      <c r="AM720" s="18"/>
      <c r="AN720" s="18"/>
    </row>
    <row r="721" spans="1:40">
      <c r="A721" s="51"/>
      <c r="B721" s="51"/>
      <c r="C721" s="51"/>
      <c r="D721" s="51"/>
      <c r="E721" s="51"/>
      <c r="F721" s="55"/>
      <c r="G721" s="56"/>
      <c r="H721" s="57"/>
      <c r="I721" s="51"/>
      <c r="J721" s="51"/>
      <c r="K721" s="58"/>
      <c r="L721" s="59"/>
      <c r="M721" s="58"/>
      <c r="N721" s="58"/>
      <c r="O721" s="51"/>
      <c r="P721" s="51"/>
      <c r="Q721" s="37"/>
      <c r="R721" s="70"/>
      <c r="S721" s="70"/>
      <c r="T721" s="70"/>
      <c r="U721" s="71"/>
      <c r="V721" s="73"/>
      <c r="W721" s="75"/>
      <c r="X721" s="117"/>
      <c r="Y721" s="111"/>
      <c r="Z721" s="111"/>
      <c r="AH721" s="18"/>
      <c r="AI721" s="18"/>
      <c r="AJ721" s="18"/>
      <c r="AK721" s="18"/>
      <c r="AL721" s="18"/>
      <c r="AM721" s="18"/>
      <c r="AN721" s="18"/>
    </row>
    <row r="722" spans="1:40">
      <c r="A722" s="51"/>
      <c r="B722" s="51"/>
      <c r="C722" s="51"/>
      <c r="D722" s="51"/>
      <c r="E722" s="51"/>
      <c r="F722" s="55"/>
      <c r="G722" s="56"/>
      <c r="H722" s="57"/>
      <c r="I722" s="51"/>
      <c r="J722" s="51"/>
      <c r="K722" s="58"/>
      <c r="L722" s="59"/>
      <c r="M722" s="58"/>
      <c r="N722" s="58"/>
      <c r="O722" s="51"/>
      <c r="P722" s="51"/>
      <c r="Q722" s="37"/>
      <c r="R722" s="70"/>
      <c r="S722" s="70"/>
      <c r="T722" s="70"/>
      <c r="U722" s="71"/>
      <c r="V722" s="73"/>
      <c r="W722" s="75"/>
      <c r="X722" s="117"/>
      <c r="Y722" s="111"/>
      <c r="Z722" s="111"/>
      <c r="AH722" s="18"/>
      <c r="AI722" s="18"/>
      <c r="AJ722" s="18"/>
      <c r="AK722" s="18"/>
      <c r="AL722" s="18"/>
      <c r="AM722" s="18"/>
      <c r="AN722" s="18"/>
    </row>
    <row r="723" spans="1:40">
      <c r="A723" s="51"/>
      <c r="B723" s="51"/>
      <c r="C723" s="51"/>
      <c r="D723" s="51"/>
      <c r="E723" s="51"/>
      <c r="F723" s="55"/>
      <c r="G723" s="56"/>
      <c r="H723" s="57"/>
      <c r="I723" s="51"/>
      <c r="J723" s="51"/>
      <c r="K723" s="58"/>
      <c r="L723" s="59"/>
      <c r="M723" s="58"/>
      <c r="N723" s="58"/>
      <c r="O723" s="51"/>
      <c r="P723" s="51"/>
      <c r="Q723" s="37"/>
      <c r="R723" s="70"/>
      <c r="S723" s="70"/>
      <c r="T723" s="70"/>
      <c r="U723" s="71"/>
      <c r="V723" s="73"/>
      <c r="W723" s="75"/>
      <c r="X723" s="117"/>
      <c r="Y723" s="111"/>
      <c r="Z723" s="111"/>
      <c r="AH723" s="18"/>
      <c r="AI723" s="18"/>
      <c r="AJ723" s="18"/>
      <c r="AK723" s="18"/>
      <c r="AL723" s="18"/>
      <c r="AM723" s="18"/>
      <c r="AN723" s="18"/>
    </row>
    <row r="724" spans="1:40">
      <c r="A724" s="51"/>
      <c r="B724" s="51"/>
      <c r="C724" s="51"/>
      <c r="D724" s="51"/>
      <c r="E724" s="51"/>
      <c r="F724" s="55"/>
      <c r="G724" s="56"/>
      <c r="H724" s="57"/>
      <c r="I724" s="51"/>
      <c r="J724" s="51"/>
      <c r="K724" s="58"/>
      <c r="L724" s="59"/>
      <c r="M724" s="58"/>
      <c r="N724" s="58"/>
      <c r="O724" s="51"/>
      <c r="P724" s="51"/>
      <c r="Q724" s="37"/>
      <c r="R724" s="70"/>
      <c r="S724" s="70"/>
      <c r="T724" s="70"/>
      <c r="U724" s="71"/>
      <c r="V724" s="73"/>
      <c r="W724" s="75"/>
      <c r="X724" s="117"/>
      <c r="Y724" s="111"/>
      <c r="Z724" s="111"/>
      <c r="AH724" s="18"/>
      <c r="AI724" s="18"/>
      <c r="AJ724" s="18"/>
      <c r="AK724" s="18"/>
      <c r="AL724" s="18"/>
      <c r="AM724" s="18"/>
      <c r="AN724" s="18"/>
    </row>
    <row r="725" spans="1:40">
      <c r="A725" s="51"/>
      <c r="B725" s="51"/>
      <c r="C725" s="51"/>
      <c r="D725" s="51"/>
      <c r="E725" s="51"/>
      <c r="F725" s="55"/>
      <c r="G725" s="56"/>
      <c r="H725" s="57"/>
      <c r="I725" s="51"/>
      <c r="J725" s="51"/>
      <c r="K725" s="58"/>
      <c r="L725" s="59"/>
      <c r="M725" s="58"/>
      <c r="N725" s="58"/>
      <c r="O725" s="51"/>
      <c r="P725" s="51"/>
      <c r="Q725" s="37"/>
      <c r="R725" s="70"/>
      <c r="S725" s="70"/>
      <c r="T725" s="70"/>
      <c r="U725" s="71"/>
      <c r="V725" s="73"/>
      <c r="W725" s="75"/>
      <c r="X725" s="117"/>
      <c r="Y725" s="111"/>
      <c r="Z725" s="111"/>
      <c r="AH725" s="18"/>
      <c r="AI725" s="18"/>
      <c r="AJ725" s="18"/>
      <c r="AK725" s="18"/>
      <c r="AL725" s="18"/>
      <c r="AM725" s="18"/>
      <c r="AN725" s="18"/>
    </row>
    <row r="726" spans="1:40">
      <c r="A726" s="51"/>
      <c r="B726" s="51"/>
      <c r="C726" s="51"/>
      <c r="D726" s="51"/>
      <c r="E726" s="51"/>
      <c r="F726" s="55"/>
      <c r="G726" s="56"/>
      <c r="H726" s="57"/>
      <c r="I726" s="51"/>
      <c r="J726" s="51"/>
      <c r="K726" s="58"/>
      <c r="L726" s="59"/>
      <c r="M726" s="58"/>
      <c r="N726" s="58"/>
      <c r="O726" s="51"/>
      <c r="P726" s="51"/>
      <c r="Q726" s="37"/>
      <c r="R726" s="70"/>
      <c r="S726" s="70"/>
      <c r="T726" s="70"/>
      <c r="U726" s="71"/>
      <c r="V726" s="73"/>
      <c r="W726" s="75"/>
      <c r="X726" s="117"/>
      <c r="Y726" s="111"/>
      <c r="Z726" s="111"/>
      <c r="AH726" s="18"/>
      <c r="AI726" s="18"/>
      <c r="AJ726" s="18"/>
      <c r="AK726" s="18"/>
      <c r="AL726" s="18"/>
      <c r="AM726" s="18"/>
      <c r="AN726" s="18"/>
    </row>
    <row r="727" spans="1:40">
      <c r="A727" s="51"/>
      <c r="B727" s="51"/>
      <c r="C727" s="51"/>
      <c r="D727" s="51"/>
      <c r="E727" s="51"/>
      <c r="F727" s="55"/>
      <c r="G727" s="56"/>
      <c r="H727" s="57"/>
      <c r="I727" s="51"/>
      <c r="J727" s="51"/>
      <c r="K727" s="58"/>
      <c r="L727" s="59"/>
      <c r="M727" s="58"/>
      <c r="N727" s="58"/>
      <c r="O727" s="51"/>
      <c r="P727" s="51"/>
      <c r="Q727" s="37"/>
      <c r="R727" s="70"/>
      <c r="S727" s="70"/>
      <c r="T727" s="70"/>
      <c r="U727" s="71"/>
      <c r="V727" s="73"/>
      <c r="W727" s="75"/>
      <c r="X727" s="117"/>
      <c r="Y727" s="111"/>
      <c r="Z727" s="111"/>
      <c r="AH727" s="18"/>
      <c r="AI727" s="18"/>
      <c r="AJ727" s="18"/>
      <c r="AK727" s="18"/>
      <c r="AL727" s="18"/>
      <c r="AM727" s="18"/>
      <c r="AN727" s="18"/>
    </row>
    <row r="728" spans="1:40">
      <c r="A728" s="51"/>
      <c r="B728" s="51"/>
      <c r="C728" s="51"/>
      <c r="D728" s="51"/>
      <c r="E728" s="51"/>
      <c r="F728" s="55"/>
      <c r="G728" s="56"/>
      <c r="H728" s="57"/>
      <c r="I728" s="51"/>
      <c r="J728" s="51"/>
      <c r="K728" s="58"/>
      <c r="L728" s="59"/>
      <c r="M728" s="58"/>
      <c r="N728" s="58"/>
      <c r="O728" s="51"/>
      <c r="P728" s="51"/>
      <c r="Q728" s="37"/>
      <c r="R728" s="70"/>
      <c r="S728" s="70"/>
      <c r="T728" s="70"/>
      <c r="U728" s="71"/>
      <c r="V728" s="73"/>
      <c r="W728" s="75"/>
      <c r="X728" s="117"/>
      <c r="Y728" s="111"/>
      <c r="Z728" s="111"/>
      <c r="AH728" s="18"/>
      <c r="AI728" s="18"/>
      <c r="AJ728" s="18"/>
      <c r="AK728" s="18"/>
      <c r="AL728" s="18"/>
      <c r="AM728" s="18"/>
      <c r="AN728" s="18"/>
    </row>
    <row r="729" spans="1:40">
      <c r="A729" s="51"/>
      <c r="B729" s="51"/>
      <c r="C729" s="51"/>
      <c r="D729" s="51"/>
      <c r="E729" s="51"/>
      <c r="F729" s="55"/>
      <c r="G729" s="56"/>
      <c r="H729" s="57"/>
      <c r="I729" s="51"/>
      <c r="J729" s="51"/>
      <c r="K729" s="58"/>
      <c r="L729" s="59"/>
      <c r="M729" s="58"/>
      <c r="N729" s="58"/>
      <c r="O729" s="51"/>
      <c r="P729" s="51"/>
      <c r="Q729" s="37"/>
      <c r="R729" s="70"/>
      <c r="S729" s="70"/>
      <c r="T729" s="70"/>
      <c r="U729" s="71"/>
      <c r="V729" s="73"/>
      <c r="W729" s="75"/>
      <c r="X729" s="117"/>
      <c r="Y729" s="111"/>
      <c r="Z729" s="111"/>
      <c r="AH729" s="18"/>
      <c r="AI729" s="18"/>
      <c r="AJ729" s="18"/>
      <c r="AK729" s="18"/>
      <c r="AL729" s="18"/>
      <c r="AM729" s="18"/>
      <c r="AN729" s="18"/>
    </row>
    <row r="730" spans="1:40">
      <c r="A730" s="51"/>
      <c r="B730" s="51"/>
      <c r="C730" s="51"/>
      <c r="D730" s="51"/>
      <c r="E730" s="51"/>
      <c r="F730" s="55"/>
      <c r="G730" s="56"/>
      <c r="H730" s="57"/>
      <c r="I730" s="51"/>
      <c r="J730" s="51"/>
      <c r="K730" s="58"/>
      <c r="L730" s="59"/>
      <c r="M730" s="58"/>
      <c r="N730" s="58"/>
      <c r="O730" s="51"/>
      <c r="P730" s="51"/>
      <c r="Q730" s="37"/>
      <c r="R730" s="70"/>
      <c r="S730" s="70"/>
      <c r="T730" s="70"/>
      <c r="U730" s="71"/>
      <c r="V730" s="73"/>
      <c r="W730" s="75"/>
      <c r="X730" s="117"/>
      <c r="Y730" s="111"/>
      <c r="Z730" s="111"/>
      <c r="AH730" s="18"/>
      <c r="AI730" s="18"/>
      <c r="AJ730" s="18"/>
      <c r="AK730" s="18"/>
      <c r="AL730" s="18"/>
      <c r="AM730" s="18"/>
      <c r="AN730" s="18"/>
    </row>
    <row r="731" spans="1:40">
      <c r="A731" s="51"/>
      <c r="B731" s="51"/>
      <c r="C731" s="51"/>
      <c r="D731" s="51"/>
      <c r="E731" s="51"/>
      <c r="F731" s="55"/>
      <c r="G731" s="56"/>
      <c r="H731" s="57"/>
      <c r="I731" s="51"/>
      <c r="J731" s="51"/>
      <c r="K731" s="58"/>
      <c r="L731" s="59"/>
      <c r="M731" s="58"/>
      <c r="N731" s="58"/>
      <c r="O731" s="51"/>
      <c r="P731" s="51"/>
      <c r="Q731" s="37"/>
      <c r="R731" s="70"/>
      <c r="S731" s="70"/>
      <c r="T731" s="70"/>
      <c r="U731" s="71"/>
      <c r="V731" s="73"/>
      <c r="W731" s="75"/>
      <c r="X731" s="117"/>
      <c r="Y731" s="111"/>
      <c r="Z731" s="111"/>
      <c r="AH731" s="18"/>
      <c r="AI731" s="18"/>
      <c r="AJ731" s="18"/>
      <c r="AK731" s="18"/>
      <c r="AL731" s="18"/>
      <c r="AM731" s="18"/>
      <c r="AN731" s="18"/>
    </row>
    <row r="732" spans="1:40">
      <c r="A732" s="51"/>
      <c r="B732" s="51"/>
      <c r="C732" s="51"/>
      <c r="D732" s="51"/>
      <c r="E732" s="51"/>
      <c r="F732" s="55"/>
      <c r="G732" s="56"/>
      <c r="H732" s="57"/>
      <c r="I732" s="51"/>
      <c r="J732" s="51"/>
      <c r="K732" s="58"/>
      <c r="L732" s="59"/>
      <c r="M732" s="58"/>
      <c r="N732" s="58"/>
      <c r="O732" s="51"/>
      <c r="P732" s="51"/>
      <c r="Q732" s="37"/>
      <c r="R732" s="70"/>
      <c r="S732" s="70"/>
      <c r="T732" s="70"/>
      <c r="U732" s="71"/>
      <c r="V732" s="73"/>
      <c r="W732" s="75"/>
      <c r="X732" s="117"/>
      <c r="Y732" s="111"/>
      <c r="Z732" s="111"/>
      <c r="AH732" s="18"/>
      <c r="AI732" s="18"/>
      <c r="AJ732" s="18"/>
      <c r="AK732" s="18"/>
      <c r="AL732" s="18"/>
      <c r="AM732" s="18"/>
      <c r="AN732" s="18"/>
    </row>
    <row r="733" spans="1:40">
      <c r="A733" s="51"/>
      <c r="B733" s="51"/>
      <c r="C733" s="51"/>
      <c r="D733" s="51"/>
      <c r="E733" s="51"/>
      <c r="F733" s="55"/>
      <c r="G733" s="56"/>
      <c r="H733" s="57"/>
      <c r="I733" s="51"/>
      <c r="J733" s="51"/>
      <c r="K733" s="58"/>
      <c r="L733" s="59"/>
      <c r="M733" s="58"/>
      <c r="N733" s="58"/>
      <c r="O733" s="51"/>
      <c r="P733" s="51"/>
      <c r="Q733" s="37"/>
      <c r="R733" s="70"/>
      <c r="S733" s="70"/>
      <c r="T733" s="70"/>
      <c r="U733" s="71"/>
      <c r="V733" s="73"/>
      <c r="W733" s="75"/>
      <c r="X733" s="117"/>
      <c r="Y733" s="111"/>
      <c r="Z733" s="111"/>
      <c r="AH733" s="18"/>
      <c r="AI733" s="18"/>
      <c r="AJ733" s="18"/>
      <c r="AK733" s="18"/>
      <c r="AL733" s="18"/>
      <c r="AM733" s="18"/>
      <c r="AN733" s="18"/>
    </row>
    <row r="734" spans="1:40">
      <c r="A734" s="51"/>
      <c r="B734" s="51"/>
      <c r="C734" s="51"/>
      <c r="D734" s="51"/>
      <c r="E734" s="51"/>
      <c r="F734" s="55"/>
      <c r="G734" s="56"/>
      <c r="H734" s="57"/>
      <c r="I734" s="51"/>
      <c r="J734" s="51"/>
      <c r="K734" s="58"/>
      <c r="L734" s="59"/>
      <c r="M734" s="58"/>
      <c r="N734" s="58"/>
      <c r="O734" s="51"/>
      <c r="P734" s="51"/>
      <c r="Q734" s="37"/>
      <c r="R734" s="70"/>
      <c r="S734" s="70"/>
      <c r="T734" s="70"/>
      <c r="U734" s="71"/>
      <c r="V734" s="73"/>
      <c r="W734" s="75"/>
      <c r="X734" s="117"/>
      <c r="Y734" s="111"/>
      <c r="Z734" s="111"/>
      <c r="AH734" s="18"/>
      <c r="AI734" s="18"/>
      <c r="AJ734" s="18"/>
      <c r="AK734" s="18"/>
      <c r="AL734" s="18"/>
      <c r="AM734" s="18"/>
      <c r="AN734" s="18"/>
    </row>
    <row r="735" spans="1:40">
      <c r="A735" s="51"/>
      <c r="B735" s="51"/>
      <c r="C735" s="51"/>
      <c r="D735" s="51"/>
      <c r="E735" s="51"/>
      <c r="F735" s="55"/>
      <c r="G735" s="56"/>
      <c r="H735" s="57"/>
      <c r="I735" s="51"/>
      <c r="J735" s="51"/>
      <c r="K735" s="58"/>
      <c r="L735" s="59"/>
      <c r="M735" s="58"/>
      <c r="N735" s="58"/>
      <c r="O735" s="51"/>
      <c r="P735" s="51"/>
      <c r="Q735" s="37"/>
      <c r="R735" s="70"/>
      <c r="S735" s="70"/>
      <c r="T735" s="70"/>
      <c r="U735" s="71"/>
      <c r="V735" s="73"/>
      <c r="W735" s="75"/>
      <c r="X735" s="117"/>
      <c r="Y735" s="111"/>
      <c r="Z735" s="111"/>
      <c r="AH735" s="18"/>
      <c r="AI735" s="18"/>
      <c r="AJ735" s="18"/>
      <c r="AK735" s="18"/>
      <c r="AL735" s="18"/>
      <c r="AM735" s="18"/>
      <c r="AN735" s="18"/>
    </row>
    <row r="736" spans="1:40">
      <c r="A736" s="51"/>
      <c r="B736" s="51"/>
      <c r="C736" s="51"/>
      <c r="D736" s="51"/>
      <c r="E736" s="51"/>
      <c r="F736" s="55"/>
      <c r="G736" s="56"/>
      <c r="H736" s="57"/>
      <c r="I736" s="51"/>
      <c r="J736" s="51"/>
      <c r="K736" s="58"/>
      <c r="L736" s="59"/>
      <c r="M736" s="58"/>
      <c r="N736" s="58"/>
      <c r="O736" s="51"/>
      <c r="P736" s="51"/>
      <c r="Q736" s="37"/>
      <c r="R736" s="70"/>
      <c r="S736" s="70"/>
      <c r="T736" s="70"/>
      <c r="U736" s="71"/>
      <c r="V736" s="73"/>
      <c r="W736" s="75"/>
      <c r="X736" s="117"/>
      <c r="Y736" s="111"/>
      <c r="Z736" s="111"/>
      <c r="AH736" s="18"/>
      <c r="AI736" s="18"/>
      <c r="AJ736" s="18"/>
      <c r="AK736" s="18"/>
      <c r="AL736" s="18"/>
      <c r="AM736" s="18"/>
      <c r="AN736" s="18"/>
    </row>
    <row r="737" spans="1:40">
      <c r="A737" s="51"/>
      <c r="B737" s="51"/>
      <c r="C737" s="51"/>
      <c r="D737" s="51"/>
      <c r="E737" s="51"/>
      <c r="F737" s="55"/>
      <c r="G737" s="56"/>
      <c r="H737" s="57"/>
      <c r="I737" s="51"/>
      <c r="J737" s="51"/>
      <c r="K737" s="58"/>
      <c r="L737" s="59"/>
      <c r="M737" s="58"/>
      <c r="N737" s="58"/>
      <c r="O737" s="51"/>
      <c r="P737" s="51"/>
      <c r="Q737" s="37"/>
      <c r="R737" s="70"/>
      <c r="S737" s="70"/>
      <c r="T737" s="70"/>
      <c r="U737" s="71"/>
      <c r="V737" s="73"/>
      <c r="W737" s="75"/>
      <c r="X737" s="117"/>
      <c r="Y737" s="111"/>
      <c r="Z737" s="111"/>
      <c r="AH737" s="18"/>
      <c r="AI737" s="18"/>
      <c r="AJ737" s="18"/>
      <c r="AK737" s="18"/>
      <c r="AL737" s="18"/>
      <c r="AM737" s="18"/>
      <c r="AN737" s="18"/>
    </row>
    <row r="738" spans="1:40">
      <c r="A738" s="51"/>
      <c r="B738" s="51"/>
      <c r="C738" s="51"/>
      <c r="D738" s="51"/>
      <c r="E738" s="51"/>
      <c r="F738" s="55"/>
      <c r="G738" s="56"/>
      <c r="H738" s="57"/>
      <c r="I738" s="51"/>
      <c r="J738" s="51"/>
      <c r="K738" s="58"/>
      <c r="L738" s="59"/>
      <c r="M738" s="58"/>
      <c r="N738" s="58"/>
      <c r="O738" s="51"/>
      <c r="P738" s="51"/>
      <c r="Q738" s="37"/>
      <c r="R738" s="70"/>
      <c r="S738" s="70"/>
      <c r="T738" s="70"/>
      <c r="U738" s="71"/>
      <c r="V738" s="73"/>
      <c r="W738" s="75"/>
      <c r="X738" s="117"/>
      <c r="Y738" s="111"/>
      <c r="Z738" s="111"/>
      <c r="AH738" s="18"/>
      <c r="AI738" s="18"/>
      <c r="AJ738" s="18"/>
      <c r="AK738" s="18"/>
      <c r="AL738" s="18"/>
      <c r="AM738" s="18"/>
      <c r="AN738" s="18"/>
    </row>
    <row r="739" spans="1:40">
      <c r="A739" s="51"/>
      <c r="B739" s="51"/>
      <c r="C739" s="51"/>
      <c r="D739" s="51"/>
      <c r="E739" s="51"/>
      <c r="F739" s="55"/>
      <c r="G739" s="56"/>
      <c r="H739" s="57"/>
      <c r="I739" s="51"/>
      <c r="J739" s="51"/>
      <c r="K739" s="58"/>
      <c r="L739" s="59"/>
      <c r="M739" s="58"/>
      <c r="N739" s="58"/>
      <c r="O739" s="51"/>
      <c r="P739" s="51"/>
      <c r="Q739" s="37"/>
      <c r="R739" s="70"/>
      <c r="S739" s="70"/>
      <c r="T739" s="70"/>
      <c r="U739" s="71"/>
      <c r="V739" s="73"/>
      <c r="W739" s="75"/>
      <c r="X739" s="117"/>
      <c r="Y739" s="111"/>
      <c r="Z739" s="111"/>
      <c r="AH739" s="18"/>
      <c r="AI739" s="18"/>
      <c r="AJ739" s="18"/>
      <c r="AK739" s="18"/>
      <c r="AL739" s="18"/>
      <c r="AM739" s="18"/>
      <c r="AN739" s="18"/>
    </row>
    <row r="740" spans="1:40">
      <c r="A740" s="51"/>
      <c r="B740" s="51"/>
      <c r="C740" s="51"/>
      <c r="D740" s="51"/>
      <c r="E740" s="51"/>
      <c r="F740" s="55"/>
      <c r="G740" s="56"/>
      <c r="H740" s="57"/>
      <c r="I740" s="51"/>
      <c r="J740" s="51"/>
      <c r="K740" s="58"/>
      <c r="L740" s="59"/>
      <c r="M740" s="58"/>
      <c r="N740" s="58"/>
      <c r="O740" s="51"/>
      <c r="P740" s="51"/>
      <c r="Q740" s="37"/>
      <c r="R740" s="70"/>
      <c r="S740" s="70"/>
      <c r="T740" s="70"/>
      <c r="U740" s="71"/>
      <c r="V740" s="73"/>
      <c r="W740" s="75"/>
      <c r="X740" s="117"/>
      <c r="Y740" s="111"/>
      <c r="Z740" s="111"/>
      <c r="AH740" s="18"/>
      <c r="AI740" s="18"/>
      <c r="AJ740" s="18"/>
      <c r="AK740" s="18"/>
      <c r="AL740" s="18"/>
      <c r="AM740" s="18"/>
      <c r="AN740" s="18"/>
    </row>
    <row r="741" spans="1:40">
      <c r="A741" s="51"/>
      <c r="B741" s="51"/>
      <c r="C741" s="51"/>
      <c r="D741" s="51"/>
      <c r="E741" s="51"/>
      <c r="F741" s="55"/>
      <c r="G741" s="56"/>
      <c r="H741" s="57"/>
      <c r="I741" s="51"/>
      <c r="J741" s="51"/>
      <c r="K741" s="58"/>
      <c r="L741" s="59"/>
      <c r="M741" s="58"/>
      <c r="N741" s="58"/>
      <c r="O741" s="51"/>
      <c r="P741" s="51"/>
      <c r="Q741" s="37"/>
      <c r="R741" s="70"/>
      <c r="S741" s="70"/>
      <c r="T741" s="70"/>
      <c r="U741" s="71"/>
      <c r="V741" s="73"/>
      <c r="W741" s="75"/>
      <c r="X741" s="117"/>
      <c r="Y741" s="111"/>
      <c r="Z741" s="111"/>
      <c r="AH741" s="18"/>
      <c r="AI741" s="18"/>
      <c r="AJ741" s="18"/>
      <c r="AK741" s="18"/>
      <c r="AL741" s="18"/>
      <c r="AM741" s="18"/>
      <c r="AN741" s="18"/>
    </row>
    <row r="742" spans="1:40">
      <c r="A742" s="51"/>
      <c r="B742" s="51"/>
      <c r="C742" s="51"/>
      <c r="D742" s="51"/>
      <c r="E742" s="51"/>
      <c r="F742" s="55"/>
      <c r="G742" s="56"/>
      <c r="H742" s="57"/>
      <c r="I742" s="51"/>
      <c r="J742" s="51"/>
      <c r="K742" s="58"/>
      <c r="L742" s="59"/>
      <c r="M742" s="58"/>
      <c r="N742" s="58"/>
      <c r="O742" s="51"/>
      <c r="P742" s="51"/>
      <c r="Q742" s="37"/>
      <c r="R742" s="70"/>
      <c r="S742" s="70"/>
      <c r="T742" s="70"/>
      <c r="U742" s="71"/>
      <c r="V742" s="73"/>
      <c r="W742" s="75"/>
      <c r="X742" s="117"/>
      <c r="Y742" s="111"/>
      <c r="Z742" s="111"/>
      <c r="AH742" s="18"/>
      <c r="AI742" s="18"/>
      <c r="AJ742" s="18"/>
      <c r="AK742" s="18"/>
      <c r="AL742" s="18"/>
      <c r="AM742" s="18"/>
      <c r="AN742" s="18"/>
    </row>
    <row r="743" spans="1:40">
      <c r="A743" s="51"/>
      <c r="B743" s="51"/>
      <c r="C743" s="51"/>
      <c r="D743" s="51"/>
      <c r="E743" s="51"/>
      <c r="F743" s="55"/>
      <c r="G743" s="56"/>
      <c r="H743" s="57"/>
      <c r="I743" s="51"/>
      <c r="J743" s="51"/>
      <c r="K743" s="58"/>
      <c r="L743" s="59"/>
      <c r="M743" s="58"/>
      <c r="N743" s="58"/>
      <c r="O743" s="51"/>
      <c r="P743" s="51"/>
      <c r="Q743" s="37"/>
      <c r="R743" s="70"/>
      <c r="S743" s="70"/>
      <c r="T743" s="70"/>
      <c r="U743" s="71"/>
      <c r="V743" s="73"/>
      <c r="W743" s="75"/>
      <c r="X743" s="117"/>
      <c r="Y743" s="111"/>
      <c r="Z743" s="111"/>
      <c r="AH743" s="18"/>
      <c r="AI743" s="18"/>
      <c r="AJ743" s="18"/>
      <c r="AK743" s="18"/>
      <c r="AL743" s="18"/>
      <c r="AM743" s="18"/>
      <c r="AN743" s="18"/>
    </row>
    <row r="744" spans="1:40">
      <c r="A744" s="51"/>
      <c r="B744" s="51"/>
      <c r="C744" s="51"/>
      <c r="D744" s="51"/>
      <c r="E744" s="51"/>
      <c r="F744" s="55"/>
      <c r="G744" s="56"/>
      <c r="H744" s="57"/>
      <c r="I744" s="51"/>
      <c r="J744" s="51"/>
      <c r="K744" s="58"/>
      <c r="L744" s="59"/>
      <c r="M744" s="58"/>
      <c r="N744" s="58"/>
      <c r="O744" s="51"/>
      <c r="P744" s="51"/>
      <c r="Q744" s="37"/>
      <c r="R744" s="70"/>
      <c r="S744" s="70"/>
      <c r="T744" s="70"/>
      <c r="U744" s="71"/>
      <c r="V744" s="73"/>
      <c r="W744" s="75"/>
      <c r="X744" s="117"/>
      <c r="Y744" s="111"/>
      <c r="Z744" s="111"/>
      <c r="AH744" s="18"/>
      <c r="AI744" s="18"/>
      <c r="AJ744" s="18"/>
      <c r="AK744" s="18"/>
      <c r="AL744" s="18"/>
      <c r="AM744" s="18"/>
      <c r="AN744" s="18"/>
    </row>
    <row r="745" spans="1:40">
      <c r="A745" s="51"/>
      <c r="B745" s="51"/>
      <c r="C745" s="51"/>
      <c r="D745" s="51"/>
      <c r="E745" s="51"/>
      <c r="F745" s="55"/>
      <c r="G745" s="56"/>
      <c r="H745" s="57"/>
      <c r="I745" s="51"/>
      <c r="J745" s="51"/>
      <c r="K745" s="58"/>
      <c r="L745" s="59"/>
      <c r="M745" s="58"/>
      <c r="N745" s="58"/>
      <c r="O745" s="51"/>
      <c r="P745" s="51"/>
      <c r="Q745" s="37"/>
      <c r="R745" s="70"/>
      <c r="S745" s="70"/>
      <c r="T745" s="70"/>
      <c r="U745" s="71"/>
      <c r="V745" s="73"/>
      <c r="W745" s="75"/>
      <c r="X745" s="117"/>
      <c r="Y745" s="111"/>
      <c r="Z745" s="111"/>
      <c r="AH745" s="18"/>
      <c r="AI745" s="18"/>
      <c r="AJ745" s="18"/>
      <c r="AK745" s="18"/>
      <c r="AL745" s="18"/>
      <c r="AM745" s="18"/>
      <c r="AN745" s="18"/>
    </row>
    <row r="746" spans="1:40">
      <c r="A746" s="51"/>
      <c r="B746" s="51"/>
      <c r="C746" s="51"/>
      <c r="D746" s="51"/>
      <c r="E746" s="51"/>
      <c r="F746" s="55"/>
      <c r="G746" s="56"/>
      <c r="H746" s="57"/>
      <c r="I746" s="51"/>
      <c r="J746" s="51"/>
      <c r="K746" s="58"/>
      <c r="L746" s="59"/>
      <c r="M746" s="58"/>
      <c r="N746" s="58"/>
      <c r="O746" s="51"/>
      <c r="P746" s="51"/>
      <c r="Q746" s="37"/>
      <c r="R746" s="70"/>
      <c r="S746" s="70"/>
      <c r="T746" s="70"/>
      <c r="U746" s="71"/>
      <c r="V746" s="73"/>
      <c r="W746" s="75"/>
      <c r="X746" s="117"/>
      <c r="Y746" s="111"/>
      <c r="Z746" s="111"/>
      <c r="AH746" s="18"/>
      <c r="AI746" s="18"/>
      <c r="AJ746" s="18"/>
      <c r="AK746" s="18"/>
      <c r="AL746" s="18"/>
      <c r="AM746" s="18"/>
      <c r="AN746" s="18"/>
    </row>
    <row r="747" spans="1:40">
      <c r="A747" s="51"/>
      <c r="B747" s="51"/>
      <c r="C747" s="51"/>
      <c r="D747" s="51"/>
      <c r="E747" s="51"/>
      <c r="F747" s="55"/>
      <c r="G747" s="56"/>
      <c r="H747" s="57"/>
      <c r="I747" s="51"/>
      <c r="J747" s="51"/>
      <c r="K747" s="58"/>
      <c r="L747" s="59"/>
      <c r="M747" s="58"/>
      <c r="N747" s="58"/>
      <c r="O747" s="51"/>
      <c r="P747" s="51"/>
      <c r="Q747" s="37"/>
      <c r="R747" s="70"/>
      <c r="S747" s="70"/>
      <c r="T747" s="70"/>
      <c r="U747" s="71"/>
      <c r="V747" s="73"/>
      <c r="W747" s="75"/>
      <c r="X747" s="117"/>
      <c r="Y747" s="111"/>
      <c r="Z747" s="111"/>
      <c r="AH747" s="18"/>
      <c r="AI747" s="18"/>
      <c r="AJ747" s="18"/>
      <c r="AK747" s="18"/>
      <c r="AL747" s="18"/>
      <c r="AM747" s="18"/>
      <c r="AN747" s="18"/>
    </row>
    <row r="748" spans="1:40">
      <c r="A748" s="51"/>
      <c r="B748" s="51"/>
      <c r="C748" s="51"/>
      <c r="D748" s="51"/>
      <c r="E748" s="51"/>
      <c r="F748" s="55"/>
      <c r="G748" s="56"/>
      <c r="H748" s="57"/>
      <c r="I748" s="51"/>
      <c r="J748" s="51"/>
      <c r="K748" s="58"/>
      <c r="L748" s="59"/>
      <c r="M748" s="58"/>
      <c r="N748" s="58"/>
      <c r="O748" s="51"/>
      <c r="P748" s="51"/>
      <c r="Q748" s="37"/>
      <c r="R748" s="70"/>
      <c r="S748" s="70"/>
      <c r="T748" s="70"/>
      <c r="U748" s="71"/>
      <c r="V748" s="73"/>
      <c r="W748" s="75"/>
      <c r="X748" s="117"/>
      <c r="Y748" s="111"/>
      <c r="Z748" s="111"/>
      <c r="AH748" s="18"/>
      <c r="AI748" s="18"/>
      <c r="AJ748" s="18"/>
      <c r="AK748" s="18"/>
      <c r="AL748" s="18"/>
      <c r="AM748" s="18"/>
      <c r="AN748" s="18"/>
    </row>
    <row r="749" spans="1:40">
      <c r="A749" s="51"/>
      <c r="B749" s="51"/>
      <c r="C749" s="51"/>
      <c r="D749" s="51"/>
      <c r="E749" s="51"/>
      <c r="F749" s="55"/>
      <c r="G749" s="56"/>
      <c r="H749" s="57"/>
      <c r="I749" s="51"/>
      <c r="J749" s="51"/>
      <c r="K749" s="58"/>
      <c r="L749" s="59"/>
      <c r="M749" s="58"/>
      <c r="N749" s="58"/>
      <c r="O749" s="51"/>
      <c r="P749" s="51"/>
      <c r="Q749" s="37"/>
      <c r="R749" s="70"/>
      <c r="S749" s="70"/>
      <c r="T749" s="70"/>
      <c r="U749" s="71"/>
      <c r="V749" s="73"/>
      <c r="W749" s="75"/>
      <c r="X749" s="117"/>
      <c r="Y749" s="111"/>
      <c r="Z749" s="111"/>
      <c r="AH749" s="18"/>
      <c r="AI749" s="18"/>
      <c r="AJ749" s="18"/>
      <c r="AK749" s="18"/>
      <c r="AL749" s="18"/>
      <c r="AM749" s="18"/>
      <c r="AN749" s="18"/>
    </row>
    <row r="750" spans="1:40">
      <c r="A750" s="51"/>
      <c r="B750" s="51"/>
      <c r="C750" s="51"/>
      <c r="D750" s="51"/>
      <c r="E750" s="51"/>
      <c r="F750" s="55"/>
      <c r="G750" s="56"/>
      <c r="H750" s="57"/>
      <c r="I750" s="51"/>
      <c r="J750" s="51"/>
      <c r="K750" s="58"/>
      <c r="L750" s="59"/>
      <c r="M750" s="58"/>
      <c r="N750" s="58"/>
      <c r="O750" s="51"/>
      <c r="P750" s="51"/>
      <c r="Q750" s="37"/>
      <c r="R750" s="70"/>
      <c r="S750" s="70"/>
      <c r="T750" s="70"/>
      <c r="U750" s="71"/>
      <c r="V750" s="73"/>
      <c r="W750" s="75"/>
      <c r="X750" s="117"/>
      <c r="Y750" s="111"/>
      <c r="Z750" s="111"/>
      <c r="AH750" s="18"/>
      <c r="AI750" s="18"/>
      <c r="AJ750" s="18"/>
      <c r="AK750" s="18"/>
      <c r="AL750" s="18"/>
      <c r="AM750" s="18"/>
      <c r="AN750" s="18"/>
    </row>
    <row r="751" spans="1:40">
      <c r="A751" s="51"/>
      <c r="B751" s="51"/>
      <c r="C751" s="51"/>
      <c r="D751" s="51"/>
      <c r="E751" s="51"/>
      <c r="F751" s="55"/>
      <c r="G751" s="56"/>
      <c r="H751" s="57"/>
      <c r="I751" s="51"/>
      <c r="J751" s="51"/>
      <c r="K751" s="58"/>
      <c r="L751" s="59"/>
      <c r="M751" s="58"/>
      <c r="N751" s="58"/>
      <c r="O751" s="51"/>
      <c r="P751" s="51"/>
      <c r="Q751" s="37"/>
      <c r="R751" s="70"/>
      <c r="S751" s="70"/>
      <c r="T751" s="70"/>
      <c r="U751" s="71"/>
      <c r="V751" s="73"/>
      <c r="W751" s="75"/>
      <c r="X751" s="117"/>
      <c r="Y751" s="111"/>
      <c r="Z751" s="111"/>
      <c r="AH751" s="18"/>
      <c r="AI751" s="18"/>
      <c r="AJ751" s="18"/>
      <c r="AK751" s="18"/>
      <c r="AL751" s="18"/>
      <c r="AM751" s="18"/>
      <c r="AN751" s="18"/>
    </row>
    <row r="752" spans="1:40">
      <c r="A752" s="51"/>
      <c r="B752" s="51"/>
      <c r="C752" s="51"/>
      <c r="D752" s="51"/>
      <c r="E752" s="51"/>
      <c r="F752" s="55"/>
      <c r="G752" s="56"/>
      <c r="H752" s="57"/>
      <c r="I752" s="51"/>
      <c r="J752" s="51"/>
      <c r="K752" s="58"/>
      <c r="L752" s="59"/>
      <c r="M752" s="58"/>
      <c r="N752" s="58"/>
      <c r="O752" s="51"/>
      <c r="P752" s="51"/>
      <c r="Q752" s="37"/>
      <c r="R752" s="70"/>
      <c r="S752" s="70"/>
      <c r="T752" s="70"/>
      <c r="U752" s="71"/>
      <c r="V752" s="73"/>
      <c r="W752" s="75"/>
      <c r="X752" s="117"/>
      <c r="Y752" s="111"/>
      <c r="Z752" s="111"/>
      <c r="AH752" s="18"/>
      <c r="AI752" s="18"/>
      <c r="AJ752" s="18"/>
      <c r="AK752" s="18"/>
      <c r="AL752" s="18"/>
      <c r="AM752" s="18"/>
      <c r="AN752" s="18"/>
    </row>
    <row r="753" spans="1:40">
      <c r="A753" s="51"/>
      <c r="B753" s="51"/>
      <c r="C753" s="51"/>
      <c r="D753" s="51"/>
      <c r="E753" s="51"/>
      <c r="F753" s="55"/>
      <c r="G753" s="56"/>
      <c r="H753" s="57"/>
      <c r="I753" s="51"/>
      <c r="J753" s="51"/>
      <c r="K753" s="58"/>
      <c r="L753" s="59"/>
      <c r="M753" s="58"/>
      <c r="N753" s="58"/>
      <c r="O753" s="51"/>
      <c r="P753" s="51"/>
      <c r="Q753" s="37"/>
      <c r="R753" s="70"/>
      <c r="S753" s="70"/>
      <c r="T753" s="70"/>
      <c r="U753" s="71"/>
      <c r="V753" s="73"/>
      <c r="W753" s="75"/>
      <c r="X753" s="117"/>
      <c r="Y753" s="111"/>
      <c r="Z753" s="111"/>
      <c r="AH753" s="18"/>
      <c r="AI753" s="18"/>
      <c r="AJ753" s="18"/>
      <c r="AK753" s="18"/>
      <c r="AL753" s="18"/>
      <c r="AM753" s="18"/>
      <c r="AN753" s="18"/>
    </row>
    <row r="754" spans="1:40">
      <c r="A754" s="51"/>
      <c r="B754" s="51"/>
      <c r="C754" s="51"/>
      <c r="D754" s="51"/>
      <c r="E754" s="51"/>
      <c r="F754" s="55"/>
      <c r="G754" s="56"/>
      <c r="H754" s="57"/>
      <c r="I754" s="51"/>
      <c r="J754" s="51"/>
      <c r="K754" s="58"/>
      <c r="L754" s="59"/>
      <c r="M754" s="58"/>
      <c r="N754" s="58"/>
      <c r="O754" s="51"/>
      <c r="P754" s="51"/>
      <c r="Q754" s="37"/>
      <c r="R754" s="70"/>
      <c r="S754" s="70"/>
      <c r="T754" s="70"/>
      <c r="U754" s="71"/>
      <c r="V754" s="73"/>
      <c r="W754" s="75"/>
      <c r="X754" s="117"/>
      <c r="Y754" s="111"/>
      <c r="Z754" s="111"/>
      <c r="AH754" s="18"/>
      <c r="AI754" s="18"/>
      <c r="AJ754" s="18"/>
      <c r="AK754" s="18"/>
      <c r="AL754" s="18"/>
      <c r="AM754" s="18"/>
      <c r="AN754" s="18"/>
    </row>
    <row r="755" spans="1:40">
      <c r="A755" s="51"/>
      <c r="B755" s="51"/>
      <c r="C755" s="51"/>
      <c r="D755" s="51"/>
      <c r="E755" s="51"/>
      <c r="F755" s="55"/>
      <c r="G755" s="56"/>
      <c r="H755" s="57"/>
      <c r="I755" s="51"/>
      <c r="J755" s="51"/>
      <c r="K755" s="58"/>
      <c r="L755" s="59"/>
      <c r="M755" s="58"/>
      <c r="N755" s="58"/>
      <c r="O755" s="51"/>
      <c r="P755" s="51"/>
      <c r="Q755" s="37"/>
      <c r="R755" s="70"/>
      <c r="S755" s="70"/>
      <c r="T755" s="70"/>
      <c r="U755" s="71"/>
      <c r="V755" s="73"/>
      <c r="W755" s="75"/>
      <c r="X755" s="117"/>
      <c r="Y755" s="111"/>
      <c r="Z755" s="111"/>
      <c r="AH755" s="18"/>
      <c r="AI755" s="18"/>
      <c r="AJ755" s="18"/>
      <c r="AK755" s="18"/>
      <c r="AL755" s="18"/>
      <c r="AM755" s="18"/>
      <c r="AN755" s="18"/>
    </row>
    <row r="756" spans="1:40">
      <c r="A756" s="51"/>
      <c r="B756" s="51"/>
      <c r="C756" s="51"/>
      <c r="D756" s="51"/>
      <c r="E756" s="51"/>
      <c r="F756" s="55"/>
      <c r="G756" s="56"/>
      <c r="H756" s="57"/>
      <c r="I756" s="51"/>
      <c r="J756" s="51"/>
      <c r="K756" s="58"/>
      <c r="L756" s="59"/>
      <c r="M756" s="58"/>
      <c r="N756" s="58"/>
      <c r="O756" s="51"/>
      <c r="P756" s="51"/>
      <c r="Q756" s="37"/>
      <c r="R756" s="70"/>
      <c r="S756" s="70"/>
      <c r="T756" s="70"/>
      <c r="U756" s="71"/>
      <c r="V756" s="73"/>
      <c r="W756" s="75"/>
      <c r="X756" s="117"/>
      <c r="Y756" s="111"/>
      <c r="Z756" s="111"/>
      <c r="AH756" s="18"/>
      <c r="AI756" s="18"/>
      <c r="AJ756" s="18"/>
      <c r="AK756" s="18"/>
      <c r="AL756" s="18"/>
      <c r="AM756" s="18"/>
      <c r="AN756" s="18"/>
    </row>
    <row r="757" spans="1:40">
      <c r="A757" s="51"/>
      <c r="B757" s="51"/>
      <c r="C757" s="51"/>
      <c r="D757" s="51"/>
      <c r="E757" s="51"/>
      <c r="F757" s="55"/>
      <c r="G757" s="56"/>
      <c r="H757" s="57"/>
      <c r="I757" s="51"/>
      <c r="J757" s="51"/>
      <c r="K757" s="58"/>
      <c r="L757" s="59"/>
      <c r="M757" s="58"/>
      <c r="N757" s="58"/>
      <c r="O757" s="51"/>
      <c r="P757" s="51"/>
      <c r="Q757" s="37"/>
      <c r="R757" s="70"/>
      <c r="S757" s="70"/>
      <c r="T757" s="70"/>
      <c r="U757" s="71"/>
      <c r="V757" s="73"/>
      <c r="W757" s="75"/>
      <c r="X757" s="117"/>
      <c r="Y757" s="111"/>
      <c r="Z757" s="111"/>
      <c r="AH757" s="18"/>
      <c r="AI757" s="18"/>
      <c r="AJ757" s="18"/>
      <c r="AK757" s="18"/>
      <c r="AL757" s="18"/>
      <c r="AM757" s="18"/>
      <c r="AN757" s="18"/>
    </row>
    <row r="758" spans="1:40">
      <c r="A758" s="51"/>
      <c r="B758" s="51"/>
      <c r="C758" s="51"/>
      <c r="D758" s="51"/>
      <c r="E758" s="51"/>
      <c r="F758" s="55"/>
      <c r="G758" s="56"/>
      <c r="H758" s="57"/>
      <c r="I758" s="51"/>
      <c r="J758" s="51"/>
      <c r="K758" s="58"/>
      <c r="L758" s="59"/>
      <c r="M758" s="58"/>
      <c r="N758" s="58"/>
      <c r="O758" s="51"/>
      <c r="P758" s="51"/>
      <c r="Q758" s="37"/>
      <c r="R758" s="70"/>
      <c r="S758" s="70"/>
      <c r="T758" s="70"/>
      <c r="U758" s="71"/>
      <c r="V758" s="73"/>
      <c r="W758" s="75"/>
      <c r="X758" s="117"/>
      <c r="Y758" s="111"/>
      <c r="Z758" s="111"/>
      <c r="AH758" s="18"/>
      <c r="AI758" s="18"/>
      <c r="AJ758" s="18"/>
      <c r="AK758" s="18"/>
      <c r="AL758" s="18"/>
      <c r="AM758" s="18"/>
      <c r="AN758" s="18"/>
    </row>
    <row r="759" spans="1:40">
      <c r="A759" s="51"/>
      <c r="B759" s="51"/>
      <c r="C759" s="51"/>
      <c r="D759" s="51"/>
      <c r="E759" s="51"/>
      <c r="F759" s="55"/>
      <c r="G759" s="56"/>
      <c r="H759" s="57"/>
      <c r="I759" s="51"/>
      <c r="J759" s="51"/>
      <c r="K759" s="58"/>
      <c r="L759" s="59"/>
      <c r="M759" s="58"/>
      <c r="N759" s="58"/>
      <c r="O759" s="51"/>
      <c r="P759" s="51"/>
      <c r="Q759" s="37"/>
      <c r="R759" s="70"/>
      <c r="S759" s="70"/>
      <c r="T759" s="70"/>
      <c r="U759" s="71"/>
      <c r="V759" s="73"/>
      <c r="W759" s="75"/>
      <c r="X759" s="117"/>
      <c r="Y759" s="111"/>
      <c r="Z759" s="111"/>
      <c r="AH759" s="18"/>
      <c r="AI759" s="18"/>
      <c r="AJ759" s="18"/>
      <c r="AK759" s="18"/>
      <c r="AL759" s="18"/>
      <c r="AM759" s="18"/>
      <c r="AN759" s="18"/>
    </row>
    <row r="760" spans="1:40">
      <c r="A760" s="51"/>
      <c r="B760" s="51"/>
      <c r="C760" s="51"/>
      <c r="D760" s="51"/>
      <c r="E760" s="51"/>
      <c r="F760" s="55"/>
      <c r="G760" s="56"/>
      <c r="H760" s="57"/>
      <c r="I760" s="51"/>
      <c r="J760" s="51"/>
      <c r="K760" s="58"/>
      <c r="L760" s="59"/>
      <c r="M760" s="58"/>
      <c r="N760" s="58"/>
      <c r="O760" s="51"/>
      <c r="P760" s="51"/>
      <c r="Q760" s="37"/>
      <c r="R760" s="70"/>
      <c r="S760" s="70"/>
      <c r="T760" s="70"/>
      <c r="U760" s="71"/>
      <c r="V760" s="73"/>
      <c r="W760" s="75"/>
      <c r="X760" s="117"/>
      <c r="Y760" s="111"/>
      <c r="Z760" s="111"/>
      <c r="AH760" s="18"/>
      <c r="AI760" s="18"/>
      <c r="AJ760" s="18"/>
      <c r="AK760" s="18"/>
      <c r="AL760" s="18"/>
      <c r="AM760" s="18"/>
      <c r="AN760" s="18"/>
    </row>
    <row r="761" spans="1:40">
      <c r="A761" s="51"/>
      <c r="B761" s="51"/>
      <c r="C761" s="51"/>
      <c r="D761" s="51"/>
      <c r="E761" s="51"/>
      <c r="F761" s="55"/>
      <c r="G761" s="56"/>
      <c r="H761" s="57"/>
      <c r="I761" s="51"/>
      <c r="J761" s="51"/>
      <c r="K761" s="58"/>
      <c r="L761" s="59"/>
      <c r="M761" s="58"/>
      <c r="N761" s="58"/>
      <c r="O761" s="51"/>
      <c r="P761" s="51"/>
      <c r="Q761" s="37"/>
      <c r="R761" s="70"/>
      <c r="S761" s="70"/>
      <c r="T761" s="70"/>
      <c r="U761" s="71"/>
      <c r="V761" s="73"/>
      <c r="W761" s="75"/>
      <c r="X761" s="117"/>
      <c r="Y761" s="111"/>
      <c r="Z761" s="111"/>
      <c r="AH761" s="18"/>
      <c r="AI761" s="18"/>
      <c r="AJ761" s="18"/>
      <c r="AK761" s="18"/>
      <c r="AL761" s="18"/>
      <c r="AM761" s="18"/>
      <c r="AN761" s="18"/>
    </row>
    <row r="762" spans="1:40">
      <c r="A762" s="51"/>
      <c r="B762" s="51"/>
      <c r="C762" s="54"/>
      <c r="D762" s="51"/>
      <c r="E762" s="51"/>
      <c r="F762" s="55"/>
      <c r="G762" s="56"/>
      <c r="H762" s="57"/>
      <c r="I762" s="51"/>
      <c r="J762" s="51"/>
      <c r="K762" s="58"/>
      <c r="L762" s="59"/>
      <c r="M762" s="58"/>
      <c r="N762" s="58"/>
      <c r="O762" s="51"/>
      <c r="P762" s="51"/>
      <c r="Q762" s="37"/>
      <c r="R762" s="70"/>
      <c r="S762" s="70"/>
      <c r="T762" s="70"/>
      <c r="U762" s="71"/>
      <c r="V762" s="73"/>
      <c r="W762" s="75"/>
      <c r="X762" s="117"/>
      <c r="Y762" s="111"/>
      <c r="Z762" s="111"/>
      <c r="AH762" s="18"/>
      <c r="AI762" s="18"/>
      <c r="AJ762" s="18"/>
      <c r="AK762" s="18"/>
      <c r="AL762" s="18"/>
      <c r="AM762" s="18"/>
      <c r="AN762" s="18"/>
    </row>
    <row r="763" spans="1:40">
      <c r="A763" s="51"/>
      <c r="B763" s="51"/>
      <c r="C763" s="51"/>
      <c r="D763" s="51"/>
      <c r="E763" s="51"/>
      <c r="F763" s="55"/>
      <c r="G763" s="56"/>
      <c r="H763" s="57"/>
      <c r="I763" s="51"/>
      <c r="J763" s="51"/>
      <c r="K763" s="58"/>
      <c r="L763" s="59"/>
      <c r="M763" s="58"/>
      <c r="N763" s="58"/>
      <c r="O763" s="51"/>
      <c r="P763" s="51"/>
      <c r="Q763" s="37"/>
      <c r="R763" s="70"/>
      <c r="S763" s="70"/>
      <c r="T763" s="70"/>
      <c r="U763" s="71"/>
      <c r="V763" s="73"/>
      <c r="W763" s="75"/>
      <c r="X763" s="117"/>
      <c r="Y763" s="111"/>
      <c r="Z763" s="111"/>
      <c r="AH763" s="18"/>
      <c r="AI763" s="18"/>
      <c r="AJ763" s="18"/>
      <c r="AK763" s="18"/>
      <c r="AL763" s="18"/>
      <c r="AM763" s="18"/>
      <c r="AN763" s="18"/>
    </row>
    <row r="764" spans="1:40">
      <c r="A764" s="51"/>
      <c r="B764" s="51"/>
      <c r="C764" s="51"/>
      <c r="D764" s="51"/>
      <c r="E764" s="51"/>
      <c r="F764" s="55"/>
      <c r="G764" s="56"/>
      <c r="H764" s="57"/>
      <c r="I764" s="51"/>
      <c r="J764" s="51"/>
      <c r="K764" s="58"/>
      <c r="L764" s="59"/>
      <c r="M764" s="58"/>
      <c r="N764" s="58"/>
      <c r="O764" s="51"/>
      <c r="P764" s="51"/>
      <c r="Q764" s="37"/>
      <c r="R764" s="70"/>
      <c r="S764" s="70"/>
      <c r="T764" s="70"/>
      <c r="U764" s="71"/>
      <c r="V764" s="73"/>
      <c r="W764" s="75"/>
      <c r="X764" s="117"/>
      <c r="Y764" s="111"/>
      <c r="Z764" s="111"/>
      <c r="AH764" s="18"/>
      <c r="AI764" s="18"/>
      <c r="AJ764" s="18"/>
      <c r="AK764" s="18"/>
      <c r="AL764" s="18"/>
      <c r="AM764" s="18"/>
      <c r="AN764" s="18"/>
    </row>
    <row r="765" spans="1:40">
      <c r="A765" s="51"/>
      <c r="B765" s="51"/>
      <c r="C765" s="51"/>
      <c r="D765" s="51"/>
      <c r="E765" s="51"/>
      <c r="F765" s="55"/>
      <c r="G765" s="56"/>
      <c r="H765" s="57"/>
      <c r="I765" s="51"/>
      <c r="J765" s="51"/>
      <c r="K765" s="58"/>
      <c r="L765" s="59"/>
      <c r="M765" s="58"/>
      <c r="N765" s="58"/>
      <c r="O765" s="51"/>
      <c r="P765" s="51"/>
      <c r="Q765" s="37"/>
      <c r="R765" s="70"/>
      <c r="S765" s="70"/>
      <c r="T765" s="70"/>
      <c r="U765" s="71"/>
      <c r="V765" s="73"/>
      <c r="W765" s="75"/>
      <c r="X765" s="117"/>
      <c r="Y765" s="111"/>
      <c r="Z765" s="111"/>
      <c r="AH765" s="18"/>
      <c r="AI765" s="18"/>
      <c r="AJ765" s="18"/>
      <c r="AK765" s="18"/>
      <c r="AL765" s="18"/>
      <c r="AM765" s="18"/>
      <c r="AN765" s="18"/>
    </row>
    <row r="766" spans="1:40">
      <c r="A766" s="51"/>
      <c r="B766" s="51"/>
      <c r="C766" s="51"/>
      <c r="D766" s="51"/>
      <c r="E766" s="51"/>
      <c r="F766" s="55"/>
      <c r="G766" s="56"/>
      <c r="H766" s="57"/>
      <c r="I766" s="51"/>
      <c r="J766" s="51"/>
      <c r="K766" s="58"/>
      <c r="L766" s="59"/>
      <c r="M766" s="58"/>
      <c r="N766" s="58"/>
      <c r="O766" s="51"/>
      <c r="P766" s="51"/>
      <c r="Q766" s="37"/>
      <c r="R766" s="70"/>
      <c r="S766" s="70"/>
      <c r="T766" s="70"/>
      <c r="U766" s="71"/>
      <c r="V766" s="73"/>
      <c r="W766" s="75"/>
      <c r="X766" s="117"/>
      <c r="Y766" s="111"/>
      <c r="Z766" s="111"/>
      <c r="AH766" s="18"/>
      <c r="AI766" s="18"/>
      <c r="AJ766" s="18"/>
      <c r="AK766" s="18"/>
      <c r="AL766" s="18"/>
      <c r="AM766" s="18"/>
      <c r="AN766" s="18"/>
    </row>
    <row r="767" spans="1:40">
      <c r="A767" s="51"/>
      <c r="B767" s="51"/>
      <c r="C767" s="51"/>
      <c r="D767" s="51"/>
      <c r="E767" s="51"/>
      <c r="F767" s="55"/>
      <c r="G767" s="56"/>
      <c r="H767" s="57"/>
      <c r="I767" s="51"/>
      <c r="J767" s="51"/>
      <c r="K767" s="58"/>
      <c r="L767" s="59"/>
      <c r="M767" s="58"/>
      <c r="N767" s="58"/>
      <c r="O767" s="51"/>
      <c r="P767" s="51"/>
      <c r="Q767" s="37"/>
      <c r="R767" s="70"/>
      <c r="S767" s="70"/>
      <c r="T767" s="70"/>
      <c r="U767" s="71"/>
      <c r="V767" s="73"/>
      <c r="W767" s="75"/>
      <c r="X767" s="117"/>
      <c r="Y767" s="111"/>
      <c r="Z767" s="111"/>
      <c r="AH767" s="18"/>
      <c r="AI767" s="18"/>
      <c r="AJ767" s="18"/>
      <c r="AK767" s="18"/>
      <c r="AL767" s="18"/>
      <c r="AM767" s="18"/>
      <c r="AN767" s="18"/>
    </row>
    <row r="768" spans="1:40">
      <c r="A768" s="51"/>
      <c r="B768" s="51"/>
      <c r="C768" s="51"/>
      <c r="D768" s="51"/>
      <c r="E768" s="51"/>
      <c r="F768" s="55"/>
      <c r="G768" s="56"/>
      <c r="H768" s="57"/>
      <c r="I768" s="51"/>
      <c r="J768" s="51"/>
      <c r="K768" s="58"/>
      <c r="L768" s="59"/>
      <c r="M768" s="58"/>
      <c r="N768" s="58"/>
      <c r="O768" s="51"/>
      <c r="P768" s="51"/>
      <c r="Q768" s="37"/>
      <c r="R768" s="70"/>
      <c r="S768" s="70"/>
      <c r="T768" s="70"/>
      <c r="U768" s="71"/>
      <c r="V768" s="73"/>
      <c r="W768" s="75"/>
      <c r="X768" s="117"/>
      <c r="Y768" s="111"/>
      <c r="Z768" s="111"/>
      <c r="AH768" s="18"/>
      <c r="AI768" s="18"/>
      <c r="AJ768" s="18"/>
      <c r="AK768" s="18"/>
      <c r="AL768" s="18"/>
      <c r="AM768" s="18"/>
      <c r="AN768" s="18"/>
    </row>
    <row r="769" spans="1:40">
      <c r="A769" s="51"/>
      <c r="B769" s="51"/>
      <c r="C769" s="51"/>
      <c r="D769" s="51"/>
      <c r="E769" s="51"/>
      <c r="F769" s="55"/>
      <c r="G769" s="56"/>
      <c r="H769" s="57"/>
      <c r="I769" s="51"/>
      <c r="J769" s="51"/>
      <c r="K769" s="58"/>
      <c r="L769" s="59"/>
      <c r="M769" s="58"/>
      <c r="N769" s="58"/>
      <c r="O769" s="51"/>
      <c r="P769" s="51"/>
      <c r="Q769" s="37"/>
      <c r="R769" s="70"/>
      <c r="S769" s="70"/>
      <c r="T769" s="70"/>
      <c r="U769" s="71"/>
      <c r="V769" s="73"/>
      <c r="W769" s="75"/>
      <c r="X769" s="117"/>
      <c r="Y769" s="111"/>
      <c r="Z769" s="111"/>
      <c r="AH769" s="18"/>
      <c r="AI769" s="18"/>
      <c r="AJ769" s="18"/>
      <c r="AK769" s="18"/>
      <c r="AL769" s="18"/>
      <c r="AM769" s="18"/>
      <c r="AN769" s="18"/>
    </row>
    <row r="770" spans="1:40">
      <c r="A770" s="51"/>
      <c r="B770" s="51"/>
      <c r="C770" s="51"/>
      <c r="D770" s="51"/>
      <c r="E770" s="51"/>
      <c r="F770" s="55"/>
      <c r="G770" s="56"/>
      <c r="H770" s="57"/>
      <c r="I770" s="51"/>
      <c r="J770" s="51"/>
      <c r="K770" s="58"/>
      <c r="L770" s="59"/>
      <c r="M770" s="58"/>
      <c r="N770" s="58"/>
      <c r="O770" s="51"/>
      <c r="P770" s="51"/>
      <c r="Q770" s="37"/>
      <c r="R770" s="70"/>
      <c r="S770" s="70"/>
      <c r="T770" s="70"/>
      <c r="U770" s="71"/>
      <c r="V770" s="73"/>
      <c r="W770" s="75"/>
      <c r="X770" s="117"/>
      <c r="Y770" s="111"/>
      <c r="Z770" s="111"/>
      <c r="AH770" s="18"/>
      <c r="AI770" s="18"/>
      <c r="AJ770" s="18"/>
      <c r="AK770" s="18"/>
      <c r="AL770" s="18"/>
      <c r="AM770" s="18"/>
      <c r="AN770" s="18"/>
    </row>
    <row r="771" spans="1:40">
      <c r="A771" s="51"/>
      <c r="B771" s="51"/>
      <c r="C771" s="51"/>
      <c r="D771" s="51"/>
      <c r="E771" s="51"/>
      <c r="F771" s="55"/>
      <c r="G771" s="56"/>
      <c r="H771" s="57"/>
      <c r="I771" s="51"/>
      <c r="J771" s="51"/>
      <c r="K771" s="58"/>
      <c r="L771" s="59"/>
      <c r="M771" s="58"/>
      <c r="N771" s="58"/>
      <c r="O771" s="51"/>
      <c r="P771" s="51"/>
      <c r="Q771" s="37"/>
      <c r="R771" s="70"/>
      <c r="S771" s="70"/>
      <c r="T771" s="70"/>
      <c r="U771" s="71"/>
      <c r="V771" s="73"/>
      <c r="W771" s="75"/>
      <c r="X771" s="117"/>
      <c r="Y771" s="111"/>
      <c r="Z771" s="111"/>
      <c r="AH771" s="18"/>
      <c r="AI771" s="18"/>
      <c r="AJ771" s="18"/>
      <c r="AK771" s="18"/>
      <c r="AL771" s="18"/>
      <c r="AM771" s="18"/>
      <c r="AN771" s="18"/>
    </row>
    <row r="772" spans="1:40">
      <c r="A772" s="51"/>
      <c r="B772" s="51"/>
      <c r="C772" s="51"/>
      <c r="D772" s="51"/>
      <c r="E772" s="51"/>
      <c r="F772" s="55"/>
      <c r="G772" s="56"/>
      <c r="H772" s="57"/>
      <c r="I772" s="51"/>
      <c r="J772" s="51"/>
      <c r="K772" s="58"/>
      <c r="L772" s="59"/>
      <c r="M772" s="58"/>
      <c r="N772" s="58"/>
      <c r="O772" s="51"/>
      <c r="P772" s="51"/>
      <c r="Q772" s="37"/>
      <c r="R772" s="70"/>
      <c r="S772" s="70"/>
      <c r="T772" s="70"/>
      <c r="U772" s="71"/>
      <c r="V772" s="73"/>
      <c r="W772" s="75"/>
      <c r="X772" s="117"/>
      <c r="Y772" s="111"/>
      <c r="Z772" s="111"/>
      <c r="AH772" s="18"/>
      <c r="AI772" s="18"/>
      <c r="AJ772" s="18"/>
      <c r="AK772" s="18"/>
      <c r="AL772" s="18"/>
      <c r="AM772" s="18"/>
      <c r="AN772" s="18"/>
    </row>
    <row r="773" spans="1:40">
      <c r="A773" s="51"/>
      <c r="B773" s="51"/>
      <c r="C773" s="51"/>
      <c r="D773" s="51"/>
      <c r="E773" s="51"/>
      <c r="F773" s="55"/>
      <c r="G773" s="56"/>
      <c r="H773" s="57"/>
      <c r="I773" s="51"/>
      <c r="J773" s="51"/>
      <c r="K773" s="58"/>
      <c r="L773" s="59"/>
      <c r="M773" s="58"/>
      <c r="N773" s="58"/>
      <c r="O773" s="51"/>
      <c r="P773" s="51"/>
      <c r="Q773" s="37"/>
      <c r="R773" s="70"/>
      <c r="S773" s="70"/>
      <c r="T773" s="70"/>
      <c r="U773" s="71"/>
      <c r="V773" s="73"/>
      <c r="W773" s="75"/>
      <c r="X773" s="117"/>
      <c r="Y773" s="111"/>
      <c r="Z773" s="111"/>
      <c r="AH773" s="18"/>
      <c r="AI773" s="18"/>
      <c r="AJ773" s="18"/>
      <c r="AK773" s="18"/>
      <c r="AL773" s="18"/>
      <c r="AM773" s="18"/>
      <c r="AN773" s="18"/>
    </row>
    <row r="774" spans="1:40">
      <c r="A774" s="51"/>
      <c r="B774" s="51"/>
      <c r="C774" s="51"/>
      <c r="D774" s="51"/>
      <c r="E774" s="51"/>
      <c r="F774" s="55"/>
      <c r="G774" s="56"/>
      <c r="H774" s="57"/>
      <c r="I774" s="51"/>
      <c r="J774" s="51"/>
      <c r="K774" s="58"/>
      <c r="L774" s="59"/>
      <c r="M774" s="58"/>
      <c r="N774" s="58"/>
      <c r="O774" s="51"/>
      <c r="P774" s="51"/>
      <c r="Q774" s="37"/>
      <c r="R774" s="70"/>
      <c r="S774" s="70"/>
      <c r="T774" s="70"/>
      <c r="U774" s="71"/>
      <c r="V774" s="73"/>
      <c r="W774" s="75"/>
      <c r="X774" s="117"/>
      <c r="Y774" s="111"/>
      <c r="Z774" s="111"/>
      <c r="AH774" s="18"/>
      <c r="AI774" s="18"/>
      <c r="AJ774" s="18"/>
      <c r="AK774" s="18"/>
      <c r="AL774" s="18"/>
      <c r="AM774" s="18"/>
      <c r="AN774" s="18"/>
    </row>
    <row r="775" spans="1:40">
      <c r="A775" s="51"/>
      <c r="B775" s="51"/>
      <c r="C775" s="51"/>
      <c r="D775" s="51"/>
      <c r="E775" s="51"/>
      <c r="F775" s="55"/>
      <c r="G775" s="56"/>
      <c r="H775" s="57"/>
      <c r="I775" s="51"/>
      <c r="J775" s="51"/>
      <c r="K775" s="58"/>
      <c r="L775" s="59"/>
      <c r="M775" s="58"/>
      <c r="N775" s="58"/>
      <c r="O775" s="51"/>
      <c r="P775" s="51"/>
      <c r="Q775" s="37"/>
      <c r="R775" s="70"/>
      <c r="S775" s="70"/>
      <c r="T775" s="70"/>
      <c r="U775" s="71"/>
      <c r="V775" s="73"/>
      <c r="W775" s="75"/>
      <c r="X775" s="117"/>
      <c r="Y775" s="111"/>
      <c r="Z775" s="111"/>
      <c r="AH775" s="18"/>
      <c r="AI775" s="18"/>
      <c r="AJ775" s="18"/>
      <c r="AK775" s="18"/>
      <c r="AL775" s="18"/>
      <c r="AM775" s="18"/>
      <c r="AN775" s="18"/>
    </row>
    <row r="776" spans="1:40">
      <c r="A776" s="51"/>
      <c r="B776" s="51"/>
      <c r="C776" s="51"/>
      <c r="D776" s="51"/>
      <c r="E776" s="51"/>
      <c r="F776" s="55"/>
      <c r="G776" s="56"/>
      <c r="H776" s="57"/>
      <c r="I776" s="51"/>
      <c r="J776" s="51"/>
      <c r="K776" s="58"/>
      <c r="L776" s="59"/>
      <c r="M776" s="58"/>
      <c r="N776" s="58"/>
      <c r="O776" s="51"/>
      <c r="P776" s="51"/>
      <c r="Q776" s="37"/>
      <c r="R776" s="70"/>
      <c r="S776" s="70"/>
      <c r="T776" s="70"/>
      <c r="U776" s="71"/>
      <c r="V776" s="73"/>
      <c r="W776" s="75"/>
      <c r="X776" s="117"/>
      <c r="Y776" s="111"/>
      <c r="Z776" s="111"/>
      <c r="AH776" s="18"/>
      <c r="AI776" s="18"/>
      <c r="AJ776" s="18"/>
      <c r="AK776" s="18"/>
      <c r="AL776" s="18"/>
      <c r="AM776" s="18"/>
      <c r="AN776" s="18"/>
    </row>
    <row r="777" spans="1:40">
      <c r="A777" s="51"/>
      <c r="B777" s="51"/>
      <c r="C777" s="51"/>
      <c r="D777" s="51"/>
      <c r="E777" s="51"/>
      <c r="F777" s="55"/>
      <c r="G777" s="56"/>
      <c r="H777" s="57"/>
      <c r="I777" s="51"/>
      <c r="J777" s="51"/>
      <c r="K777" s="58"/>
      <c r="L777" s="59"/>
      <c r="M777" s="58"/>
      <c r="N777" s="58"/>
      <c r="O777" s="51"/>
      <c r="P777" s="51"/>
      <c r="Q777" s="37"/>
      <c r="R777" s="70"/>
      <c r="S777" s="70"/>
      <c r="T777" s="70"/>
      <c r="U777" s="71"/>
      <c r="V777" s="73"/>
      <c r="W777" s="75"/>
      <c r="X777" s="117"/>
      <c r="Y777" s="111"/>
      <c r="Z777" s="111"/>
      <c r="AH777" s="18"/>
      <c r="AI777" s="18"/>
      <c r="AJ777" s="18"/>
      <c r="AK777" s="18"/>
      <c r="AL777" s="18"/>
      <c r="AM777" s="18"/>
      <c r="AN777" s="18"/>
    </row>
    <row r="778" spans="1:40">
      <c r="A778" s="51"/>
      <c r="B778" s="51"/>
      <c r="C778" s="51"/>
      <c r="D778" s="51"/>
      <c r="E778" s="51"/>
      <c r="F778" s="55"/>
      <c r="G778" s="56"/>
      <c r="H778" s="57"/>
      <c r="I778" s="51"/>
      <c r="J778" s="51"/>
      <c r="K778" s="58"/>
      <c r="L778" s="59"/>
      <c r="M778" s="58"/>
      <c r="N778" s="58"/>
      <c r="O778" s="51"/>
      <c r="P778" s="51"/>
      <c r="Q778" s="37"/>
      <c r="R778" s="70"/>
      <c r="S778" s="70"/>
      <c r="T778" s="70"/>
      <c r="U778" s="71"/>
      <c r="V778" s="73"/>
      <c r="W778" s="75"/>
      <c r="X778" s="117"/>
      <c r="Y778" s="111"/>
      <c r="Z778" s="111"/>
      <c r="AH778" s="18"/>
      <c r="AI778" s="18"/>
      <c r="AJ778" s="18"/>
      <c r="AK778" s="18"/>
      <c r="AL778" s="18"/>
      <c r="AM778" s="18"/>
      <c r="AN778" s="18"/>
    </row>
    <row r="779" spans="1:40">
      <c r="A779" s="51"/>
      <c r="B779" s="51"/>
      <c r="C779" s="51"/>
      <c r="D779" s="51"/>
      <c r="E779" s="51"/>
      <c r="F779" s="55"/>
      <c r="G779" s="56"/>
      <c r="H779" s="57"/>
      <c r="I779" s="51"/>
      <c r="J779" s="51"/>
      <c r="K779" s="58"/>
      <c r="L779" s="59"/>
      <c r="M779" s="58"/>
      <c r="N779" s="58"/>
      <c r="O779" s="51"/>
      <c r="P779" s="51"/>
      <c r="Q779" s="37"/>
      <c r="R779" s="70"/>
      <c r="S779" s="70"/>
      <c r="T779" s="70"/>
      <c r="U779" s="71"/>
      <c r="V779" s="73"/>
      <c r="W779" s="75"/>
      <c r="X779" s="117"/>
      <c r="Y779" s="111"/>
      <c r="Z779" s="111"/>
      <c r="AH779" s="18"/>
      <c r="AI779" s="18"/>
      <c r="AJ779" s="18"/>
      <c r="AK779" s="18"/>
      <c r="AL779" s="18"/>
      <c r="AM779" s="18"/>
      <c r="AN779" s="18"/>
    </row>
    <row r="780" spans="1:40">
      <c r="A780" s="51"/>
      <c r="B780" s="51"/>
      <c r="C780" s="51"/>
      <c r="D780" s="51"/>
      <c r="E780" s="51"/>
      <c r="F780" s="55"/>
      <c r="G780" s="56"/>
      <c r="H780" s="57"/>
      <c r="I780" s="51"/>
      <c r="J780" s="51"/>
      <c r="K780" s="58"/>
      <c r="L780" s="59"/>
      <c r="M780" s="58"/>
      <c r="N780" s="58"/>
      <c r="O780" s="51"/>
      <c r="P780" s="51"/>
      <c r="Q780" s="37"/>
      <c r="R780" s="70"/>
      <c r="S780" s="70"/>
      <c r="T780" s="70"/>
      <c r="U780" s="71"/>
      <c r="V780" s="73"/>
      <c r="W780" s="75"/>
      <c r="X780" s="117"/>
      <c r="Y780" s="111"/>
      <c r="Z780" s="111"/>
      <c r="AH780" s="18"/>
      <c r="AI780" s="18"/>
      <c r="AJ780" s="18"/>
      <c r="AK780" s="18"/>
      <c r="AL780" s="18"/>
      <c r="AM780" s="18"/>
      <c r="AN780" s="18"/>
    </row>
    <row r="781" spans="1:40">
      <c r="A781" s="51"/>
      <c r="B781" s="51"/>
      <c r="C781" s="51"/>
      <c r="D781" s="51"/>
      <c r="E781" s="51"/>
      <c r="F781" s="55"/>
      <c r="G781" s="56"/>
      <c r="H781" s="57"/>
      <c r="I781" s="51"/>
      <c r="J781" s="51"/>
      <c r="K781" s="58"/>
      <c r="L781" s="59"/>
      <c r="M781" s="58"/>
      <c r="N781" s="58"/>
      <c r="O781" s="51"/>
      <c r="P781" s="51"/>
      <c r="Q781" s="37"/>
      <c r="R781" s="70"/>
      <c r="S781" s="70"/>
      <c r="T781" s="70"/>
      <c r="U781" s="71"/>
      <c r="V781" s="73"/>
      <c r="W781" s="75"/>
      <c r="X781" s="117"/>
      <c r="Y781" s="111"/>
      <c r="Z781" s="111"/>
      <c r="AH781" s="5"/>
      <c r="AI781" s="5"/>
      <c r="AJ781" s="5"/>
      <c r="AK781" s="5"/>
      <c r="AL781" s="5"/>
      <c r="AM781" s="5"/>
      <c r="AN781" s="5"/>
    </row>
    <row r="782" spans="1:40">
      <c r="A782" s="51"/>
      <c r="B782" s="51"/>
      <c r="C782" s="5"/>
      <c r="D782" s="51"/>
      <c r="E782" s="51"/>
      <c r="F782" s="55"/>
      <c r="G782" s="56"/>
      <c r="H782" s="57"/>
      <c r="I782" s="51"/>
      <c r="J782" s="51"/>
      <c r="K782" s="134"/>
      <c r="L782" s="59"/>
      <c r="M782" s="134"/>
      <c r="N782" s="134"/>
      <c r="O782" s="51"/>
      <c r="P782" s="51"/>
      <c r="Q782" s="37"/>
      <c r="R782" s="70"/>
      <c r="S782" s="70"/>
      <c r="T782" s="70"/>
      <c r="U782" s="71"/>
      <c r="V782" s="73"/>
      <c r="W782" s="75"/>
      <c r="X782" s="117"/>
      <c r="Y782" s="111"/>
      <c r="Z782" s="111"/>
      <c r="AH782" s="5"/>
      <c r="AI782" s="5"/>
      <c r="AJ782" s="5"/>
      <c r="AK782" s="5"/>
      <c r="AL782" s="5"/>
      <c r="AM782" s="5"/>
      <c r="AN782" s="5"/>
    </row>
    <row r="783" spans="1:40">
      <c r="A783" s="51"/>
      <c r="B783" s="51"/>
      <c r="C783" s="5"/>
      <c r="D783" s="51"/>
      <c r="E783" s="51"/>
      <c r="F783" s="55"/>
      <c r="G783" s="56"/>
      <c r="H783" s="57"/>
      <c r="I783" s="51"/>
      <c r="J783" s="51"/>
      <c r="K783" s="134"/>
      <c r="L783" s="59"/>
      <c r="M783" s="134"/>
      <c r="N783" s="134"/>
      <c r="O783" s="51"/>
      <c r="P783" s="51"/>
      <c r="Q783" s="37"/>
      <c r="R783" s="70"/>
      <c r="S783" s="70"/>
      <c r="T783" s="70"/>
      <c r="U783" s="71"/>
      <c r="V783" s="73"/>
      <c r="W783" s="75"/>
      <c r="X783" s="117"/>
      <c r="Y783" s="111"/>
      <c r="Z783" s="111"/>
      <c r="AH783" s="5"/>
      <c r="AI783" s="5"/>
      <c r="AJ783" s="5"/>
      <c r="AK783" s="5"/>
      <c r="AL783" s="5"/>
      <c r="AM783" s="5"/>
      <c r="AN783" s="5"/>
    </row>
    <row r="784" spans="1:40">
      <c r="A784" s="51"/>
      <c r="B784" s="51"/>
      <c r="C784" s="5"/>
      <c r="D784" s="51"/>
      <c r="E784" s="51"/>
      <c r="F784" s="55"/>
      <c r="G784" s="56"/>
      <c r="H784" s="57"/>
      <c r="I784" s="51"/>
      <c r="J784" s="51"/>
      <c r="K784" s="134"/>
      <c r="L784" s="59"/>
      <c r="M784" s="134"/>
      <c r="N784" s="134"/>
      <c r="O784" s="51"/>
      <c r="P784" s="51"/>
      <c r="Q784" s="37"/>
      <c r="R784" s="70"/>
      <c r="S784" s="70"/>
      <c r="T784" s="70"/>
      <c r="U784" s="71"/>
      <c r="V784" s="73"/>
      <c r="W784" s="75"/>
      <c r="X784" s="117"/>
      <c r="Y784" s="111"/>
      <c r="Z784" s="111"/>
      <c r="AH784" s="5"/>
      <c r="AI784" s="5"/>
      <c r="AJ784" s="5"/>
      <c r="AK784" s="5"/>
      <c r="AL784" s="5"/>
      <c r="AM784" s="5"/>
      <c r="AN784" s="5"/>
    </row>
    <row r="785" spans="1:40">
      <c r="A785" s="51"/>
      <c r="B785" s="51"/>
      <c r="C785" s="5"/>
      <c r="D785" s="51"/>
      <c r="E785" s="51"/>
      <c r="F785" s="55"/>
      <c r="G785" s="56"/>
      <c r="H785" s="57"/>
      <c r="I785" s="51"/>
      <c r="J785" s="51"/>
      <c r="K785" s="134"/>
      <c r="L785" s="59"/>
      <c r="M785" s="134"/>
      <c r="N785" s="134"/>
      <c r="O785" s="51"/>
      <c r="P785" s="51"/>
      <c r="Q785" s="37"/>
      <c r="R785" s="70"/>
      <c r="S785" s="70"/>
      <c r="T785" s="70"/>
      <c r="U785" s="71"/>
      <c r="V785" s="73"/>
      <c r="W785" s="75"/>
      <c r="X785" s="117"/>
      <c r="Y785" s="111"/>
      <c r="Z785" s="111"/>
      <c r="AH785" s="5"/>
      <c r="AI785" s="5"/>
      <c r="AJ785" s="5"/>
      <c r="AK785" s="5"/>
      <c r="AL785" s="5"/>
      <c r="AM785" s="5"/>
      <c r="AN785" s="5"/>
    </row>
    <row r="786" spans="1:40">
      <c r="A786" s="51"/>
      <c r="B786" s="51"/>
      <c r="C786" s="5"/>
      <c r="D786" s="51"/>
      <c r="E786" s="51"/>
      <c r="F786" s="55"/>
      <c r="G786" s="56"/>
      <c r="H786" s="57"/>
      <c r="I786" s="51"/>
      <c r="J786" s="51"/>
      <c r="K786" s="134"/>
      <c r="L786" s="59"/>
      <c r="M786" s="134"/>
      <c r="N786" s="134"/>
      <c r="O786" s="51"/>
      <c r="P786" s="51"/>
      <c r="Q786" s="37"/>
      <c r="R786" s="70"/>
      <c r="S786" s="70"/>
      <c r="T786" s="70"/>
      <c r="U786" s="71"/>
      <c r="V786" s="73"/>
      <c r="W786" s="75"/>
      <c r="X786" s="117"/>
      <c r="Y786" s="111"/>
      <c r="Z786" s="111"/>
      <c r="AH786" s="5"/>
      <c r="AI786" s="5"/>
      <c r="AJ786" s="5"/>
      <c r="AK786" s="5"/>
      <c r="AL786" s="5"/>
      <c r="AM786" s="5"/>
      <c r="AN786" s="5"/>
    </row>
    <row r="787" spans="1:40">
      <c r="A787" s="51"/>
      <c r="B787" s="51"/>
      <c r="C787" s="5"/>
      <c r="D787" s="51"/>
      <c r="E787" s="51"/>
      <c r="F787" s="55"/>
      <c r="G787" s="56"/>
      <c r="H787" s="57"/>
      <c r="I787" s="51"/>
      <c r="J787" s="51"/>
      <c r="K787" s="134"/>
      <c r="L787" s="59"/>
      <c r="M787" s="134"/>
      <c r="N787" s="134"/>
      <c r="O787" s="51"/>
      <c r="P787" s="51"/>
      <c r="Q787" s="37"/>
      <c r="R787" s="70"/>
      <c r="S787" s="70"/>
      <c r="T787" s="70"/>
      <c r="U787" s="71"/>
      <c r="V787" s="73"/>
      <c r="W787" s="75"/>
      <c r="X787" s="117"/>
      <c r="Y787" s="111"/>
      <c r="Z787" s="111"/>
      <c r="AH787" s="5"/>
      <c r="AI787" s="5"/>
      <c r="AJ787" s="5"/>
      <c r="AK787" s="5"/>
      <c r="AL787" s="5"/>
      <c r="AM787" s="5"/>
      <c r="AN787" s="5"/>
    </row>
    <row r="788" spans="1:40">
      <c r="A788" s="51"/>
      <c r="B788" s="51"/>
      <c r="C788" s="5"/>
      <c r="D788" s="51"/>
      <c r="E788" s="51"/>
      <c r="F788" s="55"/>
      <c r="G788" s="56"/>
      <c r="H788" s="57"/>
      <c r="I788" s="51"/>
      <c r="J788" s="51"/>
      <c r="K788" s="134"/>
      <c r="L788" s="59"/>
      <c r="M788" s="134"/>
      <c r="N788" s="134"/>
      <c r="O788" s="51"/>
      <c r="P788" s="51"/>
      <c r="Q788" s="37"/>
      <c r="R788" s="70"/>
      <c r="S788" s="70"/>
      <c r="T788" s="70"/>
      <c r="U788" s="71"/>
      <c r="V788" s="73"/>
      <c r="W788" s="75"/>
      <c r="X788" s="117"/>
      <c r="Y788" s="111"/>
      <c r="Z788" s="111"/>
      <c r="AH788" s="5"/>
      <c r="AI788" s="5"/>
      <c r="AJ788" s="5"/>
      <c r="AK788" s="5"/>
      <c r="AL788" s="5"/>
      <c r="AM788" s="5"/>
      <c r="AN788" s="5"/>
    </row>
    <row r="789" spans="1:40">
      <c r="A789" s="51"/>
      <c r="B789" s="51"/>
      <c r="C789" s="5"/>
      <c r="D789" s="51"/>
      <c r="E789" s="51"/>
      <c r="F789" s="55"/>
      <c r="G789" s="56"/>
      <c r="H789" s="57"/>
      <c r="I789" s="51"/>
      <c r="J789" s="51"/>
      <c r="K789" s="134"/>
      <c r="L789" s="59"/>
      <c r="M789" s="134"/>
      <c r="N789" s="134"/>
      <c r="O789" s="51"/>
      <c r="P789" s="51"/>
      <c r="Q789" s="37"/>
      <c r="R789" s="70"/>
      <c r="S789" s="70"/>
      <c r="T789" s="70"/>
      <c r="U789" s="71"/>
      <c r="V789" s="73"/>
      <c r="W789" s="75"/>
      <c r="X789" s="117"/>
      <c r="Y789" s="111"/>
      <c r="Z789" s="111"/>
      <c r="AH789" s="5"/>
      <c r="AI789" s="5"/>
      <c r="AJ789" s="5"/>
      <c r="AK789" s="5"/>
      <c r="AL789" s="5"/>
      <c r="AM789" s="5"/>
      <c r="AN789" s="5"/>
    </row>
    <row r="790" spans="1:40">
      <c r="A790" s="51"/>
      <c r="B790" s="51"/>
      <c r="C790" s="5"/>
      <c r="D790" s="51"/>
      <c r="E790" s="51"/>
      <c r="F790" s="55"/>
      <c r="G790" s="56"/>
      <c r="H790" s="57"/>
      <c r="I790" s="51"/>
      <c r="J790" s="51"/>
      <c r="K790" s="134"/>
      <c r="L790" s="59"/>
      <c r="M790" s="134"/>
      <c r="N790" s="134"/>
      <c r="O790" s="51"/>
      <c r="P790" s="51"/>
      <c r="Q790" s="37"/>
      <c r="R790" s="70"/>
      <c r="S790" s="70"/>
      <c r="T790" s="70"/>
      <c r="U790" s="71"/>
      <c r="V790" s="73"/>
      <c r="W790" s="75"/>
      <c r="X790" s="117"/>
      <c r="Y790" s="111"/>
      <c r="Z790" s="111"/>
      <c r="AH790" s="5"/>
      <c r="AI790" s="5"/>
      <c r="AJ790" s="5"/>
      <c r="AK790" s="5"/>
      <c r="AL790" s="5"/>
      <c r="AM790" s="5"/>
      <c r="AN790" s="5"/>
    </row>
    <row r="791" spans="1:40">
      <c r="A791" s="51"/>
      <c r="B791" s="51"/>
      <c r="C791" s="5"/>
      <c r="D791" s="51"/>
      <c r="E791" s="51"/>
      <c r="F791" s="55"/>
      <c r="G791" s="56"/>
      <c r="H791" s="57"/>
      <c r="I791" s="51"/>
      <c r="J791" s="51"/>
      <c r="K791" s="134"/>
      <c r="L791" s="59"/>
      <c r="M791" s="134"/>
      <c r="N791" s="134"/>
      <c r="O791" s="51"/>
      <c r="P791" s="51"/>
      <c r="Q791" s="37"/>
      <c r="R791" s="70"/>
      <c r="S791" s="70"/>
      <c r="T791" s="70"/>
      <c r="U791" s="71"/>
      <c r="V791" s="73"/>
      <c r="W791" s="75"/>
      <c r="X791" s="117"/>
      <c r="Y791" s="111"/>
      <c r="Z791" s="111"/>
      <c r="AH791" s="5"/>
      <c r="AI791" s="5"/>
      <c r="AJ791" s="5"/>
      <c r="AK791" s="5"/>
      <c r="AL791" s="5"/>
      <c r="AM791" s="5"/>
      <c r="AN791" s="5"/>
    </row>
    <row r="792" spans="1:40">
      <c r="A792" s="51"/>
      <c r="B792" s="51"/>
      <c r="C792" s="5"/>
      <c r="D792" s="51"/>
      <c r="E792" s="51"/>
      <c r="F792" s="55"/>
      <c r="G792" s="56"/>
      <c r="H792" s="57"/>
      <c r="I792" s="51"/>
      <c r="J792" s="51"/>
      <c r="K792" s="134"/>
      <c r="L792" s="59"/>
      <c r="M792" s="134"/>
      <c r="N792" s="134"/>
      <c r="O792" s="51"/>
      <c r="P792" s="51"/>
      <c r="Q792" s="37"/>
      <c r="R792" s="70"/>
      <c r="S792" s="70"/>
      <c r="T792" s="70"/>
      <c r="U792" s="71"/>
      <c r="V792" s="73"/>
      <c r="W792" s="75"/>
      <c r="X792" s="117"/>
      <c r="Y792" s="111"/>
      <c r="Z792" s="111"/>
      <c r="AH792" s="5"/>
      <c r="AI792" s="5"/>
      <c r="AJ792" s="5"/>
      <c r="AK792" s="5"/>
      <c r="AL792" s="5"/>
      <c r="AM792" s="5"/>
      <c r="AN792" s="5"/>
    </row>
    <row r="793" spans="1:40">
      <c r="A793" s="51"/>
      <c r="B793" s="51"/>
      <c r="C793" s="5"/>
      <c r="D793" s="51"/>
      <c r="E793" s="51"/>
      <c r="F793" s="55"/>
      <c r="G793" s="56"/>
      <c r="H793" s="57"/>
      <c r="I793" s="51"/>
      <c r="J793" s="51"/>
      <c r="K793" s="134"/>
      <c r="L793" s="59"/>
      <c r="M793" s="134"/>
      <c r="N793" s="134"/>
      <c r="O793" s="51"/>
      <c r="P793" s="51"/>
      <c r="Q793" s="37"/>
      <c r="R793" s="70"/>
      <c r="S793" s="70"/>
      <c r="T793" s="70"/>
      <c r="U793" s="71"/>
      <c r="V793" s="73"/>
      <c r="W793" s="75"/>
      <c r="X793" s="117"/>
      <c r="Y793" s="111"/>
      <c r="Z793" s="111"/>
      <c r="AH793" s="5"/>
      <c r="AI793" s="5"/>
      <c r="AJ793" s="5"/>
      <c r="AK793" s="5"/>
      <c r="AL793" s="5"/>
      <c r="AM793" s="5"/>
      <c r="AN793" s="5"/>
    </row>
    <row r="794" spans="1:40">
      <c r="A794" s="51"/>
      <c r="B794" s="51"/>
      <c r="C794" s="5"/>
      <c r="D794" s="51"/>
      <c r="E794" s="51"/>
      <c r="F794" s="55"/>
      <c r="G794" s="56"/>
      <c r="H794" s="57"/>
      <c r="I794" s="51"/>
      <c r="J794" s="51"/>
      <c r="K794" s="134"/>
      <c r="L794" s="59"/>
      <c r="M794" s="134"/>
      <c r="N794" s="134"/>
      <c r="O794" s="51"/>
      <c r="P794" s="51"/>
      <c r="Q794" s="37"/>
      <c r="R794" s="70"/>
      <c r="S794" s="70"/>
      <c r="T794" s="70"/>
      <c r="U794" s="71"/>
      <c r="V794" s="73"/>
      <c r="W794" s="75"/>
      <c r="X794" s="117"/>
      <c r="Y794" s="111"/>
      <c r="Z794" s="111"/>
      <c r="AH794" s="5"/>
      <c r="AI794" s="5"/>
      <c r="AJ794" s="5"/>
      <c r="AK794" s="5"/>
      <c r="AL794" s="5"/>
      <c r="AM794" s="5"/>
      <c r="AN794" s="5"/>
    </row>
    <row r="795" spans="1:40">
      <c r="A795" s="51"/>
      <c r="B795" s="51"/>
      <c r="C795" s="5"/>
      <c r="D795" s="51"/>
      <c r="E795" s="51"/>
      <c r="F795" s="55"/>
      <c r="G795" s="56"/>
      <c r="H795" s="57"/>
      <c r="I795" s="51"/>
      <c r="J795" s="51"/>
      <c r="K795" s="134"/>
      <c r="L795" s="59"/>
      <c r="M795" s="134"/>
      <c r="N795" s="134"/>
      <c r="O795" s="51"/>
      <c r="P795" s="51"/>
      <c r="Q795" s="37"/>
      <c r="R795" s="70"/>
      <c r="S795" s="70"/>
      <c r="T795" s="70"/>
      <c r="U795" s="71"/>
      <c r="V795" s="73"/>
      <c r="W795" s="75"/>
      <c r="X795" s="117"/>
      <c r="Y795" s="111"/>
      <c r="Z795" s="111"/>
      <c r="AH795" s="5"/>
      <c r="AI795" s="5"/>
      <c r="AJ795" s="5"/>
      <c r="AK795" s="5"/>
      <c r="AL795" s="5"/>
      <c r="AM795" s="5"/>
      <c r="AN795" s="5"/>
    </row>
    <row r="796" spans="1:40">
      <c r="A796" s="51"/>
      <c r="B796" s="51"/>
      <c r="C796" s="5"/>
      <c r="D796" s="51"/>
      <c r="E796" s="51"/>
      <c r="F796" s="55"/>
      <c r="G796" s="56"/>
      <c r="H796" s="57"/>
      <c r="I796" s="51"/>
      <c r="J796" s="51"/>
      <c r="K796" s="134"/>
      <c r="L796" s="59"/>
      <c r="M796" s="134"/>
      <c r="N796" s="134"/>
      <c r="O796" s="51"/>
      <c r="P796" s="51"/>
      <c r="Q796" s="37"/>
      <c r="R796" s="70"/>
      <c r="S796" s="70"/>
      <c r="T796" s="70"/>
      <c r="U796" s="71"/>
      <c r="V796" s="73"/>
      <c r="W796" s="75"/>
      <c r="X796" s="117"/>
      <c r="Y796" s="111"/>
      <c r="Z796" s="111"/>
      <c r="AH796" s="5"/>
      <c r="AI796" s="5"/>
      <c r="AJ796" s="5"/>
      <c r="AK796" s="5"/>
      <c r="AL796" s="5"/>
      <c r="AM796" s="5"/>
      <c r="AN796" s="5"/>
    </row>
    <row r="797" spans="1:40">
      <c r="A797" s="51"/>
      <c r="B797" s="51"/>
      <c r="C797" s="5"/>
      <c r="D797" s="51"/>
      <c r="E797" s="51"/>
      <c r="F797" s="55"/>
      <c r="G797" s="56"/>
      <c r="H797" s="57"/>
      <c r="I797" s="51"/>
      <c r="J797" s="51"/>
      <c r="K797" s="134"/>
      <c r="L797" s="59"/>
      <c r="M797" s="134"/>
      <c r="N797" s="134"/>
      <c r="O797" s="51"/>
      <c r="P797" s="51"/>
      <c r="Q797" s="37"/>
      <c r="R797" s="70"/>
      <c r="S797" s="70"/>
      <c r="T797" s="70"/>
      <c r="U797" s="71"/>
      <c r="V797" s="73"/>
      <c r="W797" s="75"/>
      <c r="X797" s="117"/>
      <c r="Y797" s="111"/>
      <c r="Z797" s="111"/>
      <c r="AH797" s="5"/>
      <c r="AI797" s="5"/>
      <c r="AJ797" s="5"/>
      <c r="AK797" s="5"/>
      <c r="AL797" s="5"/>
      <c r="AM797" s="5"/>
      <c r="AN797" s="5"/>
    </row>
    <row r="798" spans="1:40">
      <c r="A798" s="51"/>
      <c r="B798" s="51"/>
      <c r="C798" s="5"/>
      <c r="D798" s="51"/>
      <c r="E798" s="51"/>
      <c r="F798" s="55"/>
      <c r="G798" s="56"/>
      <c r="H798" s="57"/>
      <c r="I798" s="51"/>
      <c r="J798" s="51"/>
      <c r="K798" s="134"/>
      <c r="L798" s="59"/>
      <c r="M798" s="134"/>
      <c r="N798" s="134"/>
      <c r="O798" s="51"/>
      <c r="P798" s="51"/>
      <c r="Q798" s="37"/>
      <c r="R798" s="70"/>
      <c r="S798" s="70"/>
      <c r="T798" s="70"/>
      <c r="U798" s="71"/>
      <c r="V798" s="73"/>
      <c r="W798" s="75"/>
      <c r="X798" s="117"/>
      <c r="Y798" s="111"/>
      <c r="Z798" s="111"/>
      <c r="AH798" s="5"/>
      <c r="AI798" s="5"/>
      <c r="AJ798" s="5"/>
      <c r="AK798" s="5"/>
      <c r="AL798" s="5"/>
      <c r="AM798" s="5"/>
      <c r="AN798" s="5"/>
    </row>
    <row r="799" spans="1:40">
      <c r="A799" s="51"/>
      <c r="B799" s="51"/>
      <c r="C799" s="5"/>
      <c r="D799" s="51"/>
      <c r="E799" s="51"/>
      <c r="F799" s="55"/>
      <c r="G799" s="56"/>
      <c r="H799" s="57"/>
      <c r="I799" s="51"/>
      <c r="J799" s="51"/>
      <c r="K799" s="134"/>
      <c r="L799" s="59"/>
      <c r="M799" s="134"/>
      <c r="N799" s="134"/>
      <c r="O799" s="51"/>
      <c r="P799" s="51"/>
      <c r="Q799" s="37"/>
      <c r="R799" s="70"/>
      <c r="S799" s="70"/>
      <c r="T799" s="70"/>
      <c r="U799" s="71"/>
      <c r="V799" s="73"/>
      <c r="W799" s="75"/>
      <c r="X799" s="117"/>
      <c r="Y799" s="111"/>
      <c r="Z799" s="111"/>
      <c r="AH799" s="5"/>
      <c r="AI799" s="5"/>
      <c r="AJ799" s="5"/>
      <c r="AK799" s="5"/>
      <c r="AL799" s="5"/>
      <c r="AM799" s="5"/>
      <c r="AN799" s="5"/>
    </row>
    <row r="800" spans="1:40">
      <c r="A800" s="51"/>
      <c r="B800" s="51"/>
      <c r="C800" s="5"/>
      <c r="D800" s="51"/>
      <c r="E800" s="51"/>
      <c r="F800" s="55"/>
      <c r="G800" s="56"/>
      <c r="H800" s="57"/>
      <c r="I800" s="51"/>
      <c r="J800" s="51"/>
      <c r="K800" s="134"/>
      <c r="L800" s="59"/>
      <c r="M800" s="134"/>
      <c r="N800" s="134"/>
      <c r="O800" s="51"/>
      <c r="P800" s="51"/>
      <c r="Q800" s="37"/>
      <c r="R800" s="70"/>
      <c r="S800" s="70"/>
      <c r="T800" s="70"/>
      <c r="U800" s="71"/>
      <c r="V800" s="73"/>
      <c r="W800" s="75"/>
      <c r="X800" s="117"/>
      <c r="Y800" s="111"/>
      <c r="Z800" s="111"/>
      <c r="AH800" s="5"/>
      <c r="AI800" s="5"/>
      <c r="AJ800" s="5"/>
      <c r="AK800" s="5"/>
      <c r="AL800" s="5"/>
      <c r="AM800" s="5"/>
      <c r="AN800" s="5"/>
    </row>
    <row r="801" spans="1:40">
      <c r="A801" s="51"/>
      <c r="B801" s="51"/>
      <c r="C801" s="5"/>
      <c r="D801" s="51"/>
      <c r="E801" s="51"/>
      <c r="F801" s="55"/>
      <c r="G801" s="56"/>
      <c r="H801" s="57"/>
      <c r="I801" s="51"/>
      <c r="J801" s="51"/>
      <c r="K801" s="134"/>
      <c r="L801" s="59"/>
      <c r="M801" s="134"/>
      <c r="N801" s="134"/>
      <c r="O801" s="51"/>
      <c r="P801" s="51"/>
      <c r="Q801" s="37"/>
      <c r="R801" s="70"/>
      <c r="S801" s="70"/>
      <c r="T801" s="70"/>
      <c r="U801" s="71"/>
      <c r="V801" s="73"/>
      <c r="W801" s="75"/>
      <c r="X801" s="117"/>
      <c r="Y801" s="111"/>
      <c r="Z801" s="111"/>
      <c r="AH801" s="5"/>
      <c r="AI801" s="5"/>
      <c r="AJ801" s="5"/>
      <c r="AK801" s="5"/>
      <c r="AL801" s="5"/>
      <c r="AM801" s="5"/>
      <c r="AN801" s="5"/>
    </row>
    <row r="802" spans="1:40">
      <c r="A802" s="51"/>
      <c r="B802" s="51"/>
      <c r="C802" s="5"/>
      <c r="D802" s="51"/>
      <c r="E802" s="51"/>
      <c r="F802" s="55"/>
      <c r="G802" s="56"/>
      <c r="H802" s="57"/>
      <c r="I802" s="51"/>
      <c r="J802" s="51"/>
      <c r="K802" s="134"/>
      <c r="L802" s="59"/>
      <c r="M802" s="134"/>
      <c r="N802" s="134"/>
      <c r="O802" s="51"/>
      <c r="P802" s="51"/>
      <c r="Q802" s="37"/>
      <c r="R802" s="70"/>
      <c r="S802" s="70"/>
      <c r="T802" s="70"/>
      <c r="U802" s="71"/>
      <c r="V802" s="73"/>
      <c r="W802" s="75"/>
      <c r="X802" s="117"/>
      <c r="Y802" s="111"/>
      <c r="Z802" s="111"/>
      <c r="AH802" s="5"/>
      <c r="AI802" s="5"/>
      <c r="AJ802" s="5"/>
      <c r="AK802" s="5"/>
      <c r="AL802" s="5"/>
      <c r="AM802" s="5"/>
      <c r="AN802" s="5"/>
    </row>
    <row r="803" spans="1:40">
      <c r="A803" s="51"/>
      <c r="B803" s="51"/>
      <c r="C803" s="5"/>
      <c r="D803" s="51"/>
      <c r="E803" s="51"/>
      <c r="F803" s="55"/>
      <c r="G803" s="56"/>
      <c r="H803" s="57"/>
      <c r="I803" s="51"/>
      <c r="J803" s="51"/>
      <c r="K803" s="134"/>
      <c r="L803" s="59"/>
      <c r="M803" s="134"/>
      <c r="N803" s="134"/>
      <c r="O803" s="51"/>
      <c r="P803" s="51"/>
      <c r="Q803" s="37"/>
      <c r="R803" s="70"/>
      <c r="S803" s="70"/>
      <c r="T803" s="70"/>
      <c r="U803" s="71"/>
      <c r="V803" s="73"/>
      <c r="W803" s="75"/>
      <c r="X803" s="117"/>
      <c r="Y803" s="111"/>
      <c r="Z803" s="111"/>
      <c r="AH803" s="5"/>
      <c r="AI803" s="5"/>
      <c r="AJ803" s="5"/>
      <c r="AK803" s="5"/>
      <c r="AL803" s="5"/>
      <c r="AM803" s="5"/>
      <c r="AN803" s="5"/>
    </row>
    <row r="804" spans="1:40">
      <c r="A804" s="51"/>
      <c r="B804" s="51"/>
      <c r="C804" s="5"/>
      <c r="D804" s="51"/>
      <c r="E804" s="51"/>
      <c r="F804" s="55"/>
      <c r="G804" s="56"/>
      <c r="H804" s="57"/>
      <c r="I804" s="51"/>
      <c r="J804" s="51"/>
      <c r="K804" s="134"/>
      <c r="L804" s="59"/>
      <c r="M804" s="134"/>
      <c r="N804" s="134"/>
      <c r="O804" s="51"/>
      <c r="P804" s="51"/>
      <c r="Q804" s="37"/>
      <c r="R804" s="70"/>
      <c r="S804" s="70"/>
      <c r="T804" s="70"/>
      <c r="U804" s="71"/>
      <c r="V804" s="73"/>
      <c r="W804" s="75"/>
      <c r="X804" s="117"/>
      <c r="Y804" s="111"/>
      <c r="Z804" s="111"/>
      <c r="AH804" s="5"/>
      <c r="AI804" s="5"/>
      <c r="AJ804" s="5"/>
      <c r="AK804" s="5"/>
      <c r="AL804" s="5"/>
      <c r="AM804" s="5"/>
      <c r="AN804" s="5"/>
    </row>
    <row r="805" spans="1:40">
      <c r="A805" s="51"/>
      <c r="B805" s="51"/>
      <c r="C805" s="5"/>
      <c r="D805" s="51"/>
      <c r="E805" s="51"/>
      <c r="F805" s="55"/>
      <c r="G805" s="56"/>
      <c r="H805" s="57"/>
      <c r="I805" s="51"/>
      <c r="J805" s="51"/>
      <c r="K805" s="134"/>
      <c r="L805" s="59"/>
      <c r="M805" s="134"/>
      <c r="N805" s="134"/>
      <c r="O805" s="51"/>
      <c r="P805" s="51"/>
      <c r="Q805" s="37"/>
      <c r="R805" s="70"/>
      <c r="S805" s="70"/>
      <c r="T805" s="70"/>
      <c r="U805" s="71"/>
      <c r="V805" s="73"/>
      <c r="W805" s="75"/>
      <c r="X805" s="117"/>
      <c r="Y805" s="111"/>
      <c r="Z805" s="111"/>
      <c r="AH805" s="5"/>
      <c r="AI805" s="5"/>
      <c r="AJ805" s="5"/>
      <c r="AK805" s="5"/>
      <c r="AL805" s="5"/>
      <c r="AM805" s="5"/>
      <c r="AN805" s="5"/>
    </row>
    <row r="806" spans="1:40">
      <c r="A806" s="51"/>
      <c r="B806" s="51"/>
      <c r="C806" s="5"/>
      <c r="D806" s="51"/>
      <c r="E806" s="51"/>
      <c r="F806" s="55"/>
      <c r="G806" s="56"/>
      <c r="H806" s="57"/>
      <c r="I806" s="51"/>
      <c r="J806" s="51"/>
      <c r="K806" s="134"/>
      <c r="L806" s="59"/>
      <c r="M806" s="134"/>
      <c r="N806" s="134"/>
      <c r="O806" s="51"/>
      <c r="P806" s="51"/>
      <c r="Q806" s="37"/>
      <c r="R806" s="70"/>
      <c r="S806" s="70"/>
      <c r="T806" s="70"/>
      <c r="U806" s="71"/>
      <c r="V806" s="73"/>
      <c r="W806" s="75"/>
      <c r="X806" s="117"/>
      <c r="Y806" s="111"/>
      <c r="Z806" s="111"/>
      <c r="AH806" s="5"/>
      <c r="AI806" s="5"/>
      <c r="AJ806" s="5"/>
      <c r="AK806" s="5"/>
      <c r="AL806" s="5"/>
      <c r="AM806" s="5"/>
      <c r="AN806" s="5"/>
    </row>
    <row r="807" spans="1:40">
      <c r="A807" s="51"/>
      <c r="B807" s="51"/>
      <c r="C807" s="5"/>
      <c r="D807" s="51"/>
      <c r="E807" s="51"/>
      <c r="F807" s="55"/>
      <c r="G807" s="56"/>
      <c r="H807" s="57"/>
      <c r="I807" s="51"/>
      <c r="J807" s="51"/>
      <c r="K807" s="134"/>
      <c r="L807" s="59"/>
      <c r="M807" s="134"/>
      <c r="N807" s="134"/>
      <c r="O807" s="51"/>
      <c r="P807" s="51"/>
      <c r="Q807" s="37"/>
      <c r="R807" s="70"/>
      <c r="S807" s="70"/>
      <c r="T807" s="70"/>
      <c r="U807" s="71"/>
      <c r="V807" s="73"/>
      <c r="W807" s="75"/>
      <c r="X807" s="117"/>
      <c r="Y807" s="111"/>
      <c r="Z807" s="111"/>
      <c r="AH807" s="5"/>
      <c r="AI807" s="5"/>
      <c r="AJ807" s="5"/>
      <c r="AK807" s="5"/>
      <c r="AL807" s="5"/>
      <c r="AM807" s="5"/>
      <c r="AN807" s="5"/>
    </row>
    <row r="808" spans="1:40">
      <c r="A808" s="51"/>
      <c r="B808" s="51"/>
      <c r="C808" s="5"/>
      <c r="D808" s="51"/>
      <c r="E808" s="51"/>
      <c r="F808" s="55"/>
      <c r="G808" s="56"/>
      <c r="H808" s="57"/>
      <c r="I808" s="51"/>
      <c r="J808" s="51"/>
      <c r="K808" s="134"/>
      <c r="L808" s="59"/>
      <c r="M808" s="134"/>
      <c r="N808" s="134"/>
      <c r="O808" s="51"/>
      <c r="P808" s="51"/>
      <c r="Q808" s="37"/>
      <c r="R808" s="70"/>
      <c r="S808" s="70"/>
      <c r="T808" s="70"/>
      <c r="U808" s="71"/>
      <c r="V808" s="73"/>
      <c r="W808" s="75"/>
      <c r="X808" s="117"/>
      <c r="Y808" s="111"/>
      <c r="Z808" s="111"/>
      <c r="AH808" s="5"/>
      <c r="AI808" s="5"/>
      <c r="AJ808" s="5"/>
      <c r="AK808" s="5"/>
      <c r="AL808" s="5"/>
      <c r="AM808" s="5"/>
      <c r="AN808" s="5"/>
    </row>
    <row r="809" spans="1:40">
      <c r="A809" s="51"/>
      <c r="B809" s="51"/>
      <c r="C809" s="5"/>
      <c r="D809" s="51"/>
      <c r="E809" s="51"/>
      <c r="F809" s="55"/>
      <c r="G809" s="56"/>
      <c r="H809" s="57"/>
      <c r="I809" s="51"/>
      <c r="J809" s="51"/>
      <c r="K809" s="134"/>
      <c r="L809" s="59"/>
      <c r="M809" s="134"/>
      <c r="N809" s="134"/>
      <c r="O809" s="51"/>
      <c r="P809" s="51"/>
      <c r="Q809" s="37"/>
      <c r="R809" s="70"/>
      <c r="S809" s="70"/>
      <c r="T809" s="70"/>
      <c r="U809" s="71"/>
      <c r="V809" s="73"/>
      <c r="W809" s="75"/>
      <c r="X809" s="117"/>
      <c r="Y809" s="111"/>
      <c r="Z809" s="111"/>
      <c r="AH809" s="5"/>
      <c r="AI809" s="5"/>
      <c r="AJ809" s="5"/>
      <c r="AK809" s="5"/>
      <c r="AL809" s="5"/>
      <c r="AM809" s="5"/>
      <c r="AN809" s="5"/>
    </row>
    <row r="810" spans="1:40">
      <c r="A810" s="51"/>
      <c r="B810" s="51"/>
      <c r="C810" s="5"/>
      <c r="D810" s="51"/>
      <c r="E810" s="51"/>
      <c r="F810" s="55"/>
      <c r="G810" s="56"/>
      <c r="H810" s="57"/>
      <c r="I810" s="51"/>
      <c r="J810" s="51"/>
      <c r="K810" s="134"/>
      <c r="L810" s="59"/>
      <c r="M810" s="134"/>
      <c r="N810" s="134"/>
      <c r="O810" s="51"/>
      <c r="P810" s="51"/>
      <c r="Q810" s="37"/>
      <c r="R810" s="70"/>
      <c r="S810" s="70"/>
      <c r="T810" s="70"/>
      <c r="U810" s="71"/>
      <c r="V810" s="73"/>
      <c r="W810" s="75"/>
      <c r="X810" s="117"/>
      <c r="Y810" s="111"/>
      <c r="Z810" s="111"/>
      <c r="AH810" s="5"/>
      <c r="AI810" s="5"/>
      <c r="AJ810" s="5"/>
      <c r="AK810" s="5"/>
      <c r="AL810" s="5"/>
      <c r="AM810" s="5"/>
      <c r="AN810" s="5"/>
    </row>
    <row r="811" spans="1:40">
      <c r="A811" s="51"/>
      <c r="B811" s="51"/>
      <c r="C811" s="5"/>
      <c r="D811" s="51"/>
      <c r="E811" s="51"/>
      <c r="F811" s="55"/>
      <c r="G811" s="56"/>
      <c r="H811" s="57"/>
      <c r="I811" s="51"/>
      <c r="J811" s="51"/>
      <c r="K811" s="134"/>
      <c r="L811" s="59"/>
      <c r="M811" s="134"/>
      <c r="N811" s="134"/>
      <c r="O811" s="51"/>
      <c r="P811" s="51"/>
      <c r="Q811" s="37"/>
      <c r="R811" s="70"/>
      <c r="S811" s="70"/>
      <c r="T811" s="70"/>
      <c r="U811" s="71"/>
      <c r="V811" s="73"/>
      <c r="W811" s="75"/>
      <c r="X811" s="117"/>
      <c r="Y811" s="111"/>
      <c r="Z811" s="111"/>
      <c r="AH811" s="5"/>
      <c r="AI811" s="5"/>
      <c r="AJ811" s="5"/>
      <c r="AK811" s="5"/>
      <c r="AL811" s="5"/>
      <c r="AM811" s="5"/>
      <c r="AN811" s="5"/>
    </row>
    <row r="812" spans="1:40">
      <c r="A812" s="51"/>
      <c r="B812" s="51"/>
      <c r="C812" s="5"/>
      <c r="D812" s="51"/>
      <c r="E812" s="51"/>
      <c r="F812" s="55"/>
      <c r="G812" s="56"/>
      <c r="H812" s="57"/>
      <c r="I812" s="51"/>
      <c r="J812" s="51"/>
      <c r="K812" s="134"/>
      <c r="L812" s="59"/>
      <c r="M812" s="134"/>
      <c r="N812" s="134"/>
      <c r="O812" s="51"/>
      <c r="P812" s="51"/>
      <c r="Q812" s="37"/>
      <c r="R812" s="70"/>
      <c r="S812" s="70"/>
      <c r="T812" s="70"/>
      <c r="U812" s="71"/>
      <c r="V812" s="73"/>
      <c r="W812" s="75"/>
      <c r="X812" s="117"/>
      <c r="Y812" s="111"/>
      <c r="Z812" s="111"/>
      <c r="AH812" s="5"/>
      <c r="AI812" s="5"/>
      <c r="AJ812" s="5"/>
      <c r="AK812" s="5"/>
      <c r="AL812" s="5"/>
      <c r="AM812" s="5"/>
      <c r="AN812" s="5"/>
    </row>
    <row r="813" spans="1:40">
      <c r="A813" s="51"/>
      <c r="B813" s="51"/>
      <c r="C813" s="5"/>
      <c r="D813" s="51"/>
      <c r="E813" s="51"/>
      <c r="F813" s="55"/>
      <c r="G813" s="56"/>
      <c r="H813" s="57"/>
      <c r="I813" s="51"/>
      <c r="J813" s="51"/>
      <c r="K813" s="134"/>
      <c r="L813" s="59"/>
      <c r="M813" s="134"/>
      <c r="N813" s="134"/>
      <c r="O813" s="51"/>
      <c r="P813" s="51"/>
      <c r="Q813" s="37"/>
      <c r="R813" s="70"/>
      <c r="S813" s="70"/>
      <c r="T813" s="70"/>
      <c r="U813" s="71"/>
      <c r="V813" s="73"/>
      <c r="W813" s="75"/>
      <c r="X813" s="117"/>
      <c r="Y813" s="111"/>
      <c r="Z813" s="111"/>
      <c r="AH813" s="5"/>
      <c r="AI813" s="5"/>
      <c r="AJ813" s="5"/>
      <c r="AK813" s="5"/>
      <c r="AL813" s="5"/>
      <c r="AM813" s="5"/>
      <c r="AN813" s="5"/>
    </row>
    <row r="814" spans="1:40">
      <c r="A814" s="51"/>
      <c r="B814" s="51"/>
      <c r="C814" s="5"/>
      <c r="D814" s="51"/>
      <c r="E814" s="51"/>
      <c r="F814" s="55"/>
      <c r="G814" s="56"/>
      <c r="H814" s="57"/>
      <c r="I814" s="51"/>
      <c r="J814" s="51"/>
      <c r="K814" s="134"/>
      <c r="L814" s="59"/>
      <c r="M814" s="134"/>
      <c r="N814" s="134"/>
      <c r="O814" s="51"/>
      <c r="P814" s="51"/>
      <c r="Q814" s="37"/>
      <c r="R814" s="70"/>
      <c r="S814" s="70"/>
      <c r="T814" s="70"/>
      <c r="U814" s="71"/>
      <c r="V814" s="73"/>
      <c r="W814" s="75"/>
      <c r="X814" s="117"/>
      <c r="Y814" s="111"/>
      <c r="Z814" s="111"/>
      <c r="AH814" s="5"/>
      <c r="AI814" s="5"/>
      <c r="AJ814" s="5"/>
      <c r="AK814" s="5"/>
      <c r="AL814" s="5"/>
      <c r="AM814" s="5"/>
      <c r="AN814" s="5"/>
    </row>
    <row r="815" spans="1:40">
      <c r="A815" s="51"/>
      <c r="B815" s="51"/>
      <c r="C815" s="5"/>
      <c r="D815" s="51"/>
      <c r="E815" s="51"/>
      <c r="F815" s="55"/>
      <c r="G815" s="56"/>
      <c r="H815" s="57"/>
      <c r="I815" s="51"/>
      <c r="J815" s="51"/>
      <c r="K815" s="134"/>
      <c r="L815" s="59"/>
      <c r="M815" s="134"/>
      <c r="N815" s="134"/>
      <c r="O815" s="51"/>
      <c r="P815" s="51"/>
      <c r="Q815" s="37"/>
      <c r="R815" s="70"/>
      <c r="S815" s="70"/>
      <c r="T815" s="70"/>
      <c r="U815" s="71"/>
      <c r="V815" s="73"/>
      <c r="W815" s="75"/>
      <c r="X815" s="117"/>
      <c r="Y815" s="111"/>
      <c r="Z815" s="111"/>
      <c r="AH815" s="5"/>
      <c r="AI815" s="5"/>
      <c r="AJ815" s="5"/>
      <c r="AK815" s="5"/>
      <c r="AL815" s="5"/>
      <c r="AM815" s="5"/>
      <c r="AN815" s="5"/>
    </row>
    <row r="816" spans="1:40">
      <c r="A816" s="51"/>
      <c r="B816" s="51"/>
      <c r="C816" s="5"/>
      <c r="D816" s="51"/>
      <c r="E816" s="51"/>
      <c r="F816" s="55"/>
      <c r="G816" s="56"/>
      <c r="H816" s="57"/>
      <c r="I816" s="51"/>
      <c r="J816" s="51"/>
      <c r="K816" s="134"/>
      <c r="L816" s="59"/>
      <c r="M816" s="134"/>
      <c r="N816" s="134"/>
      <c r="O816" s="51"/>
      <c r="P816" s="51"/>
      <c r="Q816" s="37"/>
      <c r="R816" s="70"/>
      <c r="S816" s="70"/>
      <c r="T816" s="70"/>
      <c r="U816" s="71"/>
      <c r="V816" s="73"/>
      <c r="W816" s="75"/>
      <c r="X816" s="117"/>
      <c r="Y816" s="111"/>
      <c r="Z816" s="111"/>
      <c r="AH816" s="5"/>
      <c r="AI816" s="5"/>
      <c r="AJ816" s="5"/>
      <c r="AK816" s="5"/>
      <c r="AL816" s="5"/>
      <c r="AM816" s="5"/>
      <c r="AN816" s="5"/>
    </row>
    <row r="817" spans="1:40">
      <c r="A817" s="51"/>
      <c r="B817" s="51"/>
      <c r="C817" s="5"/>
      <c r="D817" s="51"/>
      <c r="E817" s="51"/>
      <c r="F817" s="55"/>
      <c r="G817" s="56"/>
      <c r="H817" s="57"/>
      <c r="I817" s="51"/>
      <c r="J817" s="51"/>
      <c r="K817" s="134"/>
      <c r="L817" s="59"/>
      <c r="M817" s="134"/>
      <c r="N817" s="134"/>
      <c r="O817" s="51"/>
      <c r="P817" s="51"/>
      <c r="Q817" s="37"/>
      <c r="R817" s="70"/>
      <c r="S817" s="70"/>
      <c r="T817" s="70"/>
      <c r="U817" s="71"/>
      <c r="V817" s="73"/>
      <c r="W817" s="75"/>
      <c r="X817" s="117"/>
      <c r="Y817" s="111"/>
      <c r="Z817" s="111"/>
      <c r="AH817" s="5"/>
      <c r="AI817" s="5"/>
      <c r="AJ817" s="5"/>
      <c r="AK817" s="5"/>
      <c r="AL817" s="5"/>
      <c r="AM817" s="5"/>
      <c r="AN817" s="5"/>
    </row>
    <row r="818" spans="1:40">
      <c r="A818" s="51"/>
      <c r="B818" s="51"/>
      <c r="C818" s="5"/>
      <c r="D818" s="51"/>
      <c r="E818" s="51"/>
      <c r="F818" s="55"/>
      <c r="G818" s="56"/>
      <c r="H818" s="57"/>
      <c r="I818" s="51"/>
      <c r="J818" s="51"/>
      <c r="K818" s="134"/>
      <c r="L818" s="59"/>
      <c r="M818" s="134"/>
      <c r="N818" s="134"/>
      <c r="O818" s="51"/>
      <c r="P818" s="51"/>
      <c r="Q818" s="37"/>
      <c r="R818" s="70"/>
      <c r="S818" s="70"/>
      <c r="T818" s="70"/>
      <c r="U818" s="71"/>
      <c r="V818" s="73"/>
      <c r="W818" s="75"/>
      <c r="X818" s="117"/>
      <c r="Y818" s="111"/>
      <c r="Z818" s="111"/>
      <c r="AH818" s="5"/>
      <c r="AI818" s="5"/>
      <c r="AJ818" s="5"/>
      <c r="AK818" s="5"/>
      <c r="AL818" s="5"/>
      <c r="AM818" s="5"/>
      <c r="AN818" s="5"/>
    </row>
    <row r="819" spans="1:40">
      <c r="A819" s="51"/>
      <c r="B819" s="51"/>
      <c r="C819" s="5"/>
      <c r="D819" s="51"/>
      <c r="E819" s="51"/>
      <c r="F819" s="55"/>
      <c r="G819" s="56"/>
      <c r="H819" s="57"/>
      <c r="I819" s="51"/>
      <c r="J819" s="51"/>
      <c r="K819" s="134"/>
      <c r="L819" s="59"/>
      <c r="M819" s="134"/>
      <c r="N819" s="134"/>
      <c r="O819" s="51"/>
      <c r="P819" s="51"/>
      <c r="Q819" s="37"/>
      <c r="R819" s="70"/>
      <c r="S819" s="70"/>
      <c r="T819" s="70"/>
      <c r="U819" s="71"/>
      <c r="V819" s="73"/>
      <c r="W819" s="75"/>
      <c r="X819" s="117"/>
      <c r="Y819" s="111"/>
      <c r="Z819" s="111"/>
      <c r="AH819" s="5"/>
      <c r="AI819" s="5"/>
      <c r="AJ819" s="5"/>
      <c r="AK819" s="5"/>
      <c r="AL819" s="5"/>
      <c r="AM819" s="5"/>
      <c r="AN819" s="5"/>
    </row>
    <row r="820" spans="1:40">
      <c r="A820" s="51"/>
      <c r="B820" s="51"/>
      <c r="C820" s="5"/>
      <c r="D820" s="51"/>
      <c r="E820" s="51"/>
      <c r="F820" s="55"/>
      <c r="G820" s="56"/>
      <c r="H820" s="57"/>
      <c r="I820" s="51"/>
      <c r="J820" s="51"/>
      <c r="K820" s="134"/>
      <c r="L820" s="59"/>
      <c r="M820" s="134"/>
      <c r="N820" s="134"/>
      <c r="O820" s="51"/>
      <c r="P820" s="51"/>
      <c r="Q820" s="37"/>
      <c r="R820" s="70"/>
      <c r="S820" s="70"/>
      <c r="T820" s="70"/>
      <c r="U820" s="71"/>
      <c r="V820" s="73"/>
      <c r="W820" s="75"/>
      <c r="X820" s="117"/>
      <c r="Y820" s="111"/>
      <c r="Z820" s="111"/>
      <c r="AH820" s="5"/>
      <c r="AI820" s="5"/>
      <c r="AJ820" s="5"/>
      <c r="AK820" s="5"/>
      <c r="AL820" s="5"/>
      <c r="AM820" s="5"/>
      <c r="AN820" s="5"/>
    </row>
    <row r="821" spans="1:40">
      <c r="A821" s="51"/>
      <c r="B821" s="51"/>
      <c r="C821" s="5"/>
      <c r="D821" s="51"/>
      <c r="E821" s="51"/>
      <c r="F821" s="55"/>
      <c r="G821" s="56"/>
      <c r="H821" s="57"/>
      <c r="I821" s="51"/>
      <c r="J821" s="51"/>
      <c r="K821" s="134"/>
      <c r="L821" s="59"/>
      <c r="M821" s="134"/>
      <c r="N821" s="134"/>
      <c r="O821" s="51"/>
      <c r="P821" s="51"/>
      <c r="Q821" s="37"/>
      <c r="R821" s="70"/>
      <c r="S821" s="70"/>
      <c r="T821" s="70"/>
      <c r="U821" s="71"/>
      <c r="V821" s="73"/>
      <c r="W821" s="75"/>
      <c r="X821" s="117"/>
      <c r="Y821" s="111"/>
      <c r="Z821" s="111"/>
      <c r="AH821" s="5"/>
      <c r="AI821" s="5"/>
      <c r="AJ821" s="5"/>
      <c r="AK821" s="5"/>
      <c r="AL821" s="5"/>
      <c r="AM821" s="5"/>
      <c r="AN821" s="5"/>
    </row>
    <row r="822" spans="1:40">
      <c r="A822" s="51"/>
      <c r="B822" s="51"/>
      <c r="C822" s="5"/>
      <c r="D822" s="51"/>
      <c r="E822" s="51"/>
      <c r="F822" s="55"/>
      <c r="G822" s="56"/>
      <c r="H822" s="57"/>
      <c r="I822" s="51"/>
      <c r="J822" s="51"/>
      <c r="K822" s="134"/>
      <c r="L822" s="59"/>
      <c r="M822" s="134"/>
      <c r="N822" s="134"/>
      <c r="O822" s="51"/>
      <c r="P822" s="51"/>
      <c r="Q822" s="37"/>
      <c r="R822" s="70"/>
      <c r="S822" s="70"/>
      <c r="T822" s="70"/>
      <c r="U822" s="71"/>
      <c r="V822" s="73"/>
      <c r="W822" s="75"/>
      <c r="X822" s="117"/>
      <c r="Y822" s="111"/>
      <c r="Z822" s="111"/>
      <c r="AH822" s="5"/>
      <c r="AI822" s="5"/>
      <c r="AJ822" s="5"/>
      <c r="AK822" s="5"/>
      <c r="AL822" s="5"/>
      <c r="AM822" s="5"/>
      <c r="AN822" s="5"/>
    </row>
    <row r="823" spans="1:40">
      <c r="A823" s="51"/>
      <c r="B823" s="51"/>
      <c r="C823" s="5"/>
      <c r="D823" s="51"/>
      <c r="E823" s="51"/>
      <c r="F823" s="55"/>
      <c r="G823" s="56"/>
      <c r="H823" s="57"/>
      <c r="I823" s="51"/>
      <c r="J823" s="51"/>
      <c r="K823" s="134"/>
      <c r="L823" s="59"/>
      <c r="M823" s="134"/>
      <c r="N823" s="134"/>
      <c r="O823" s="51"/>
      <c r="P823" s="51"/>
      <c r="Q823" s="37"/>
      <c r="R823" s="70"/>
      <c r="S823" s="70"/>
      <c r="T823" s="70"/>
      <c r="U823" s="71"/>
      <c r="V823" s="73"/>
      <c r="W823" s="75"/>
      <c r="X823" s="117"/>
      <c r="Y823" s="111"/>
      <c r="Z823" s="111"/>
      <c r="AH823" s="5"/>
      <c r="AI823" s="5"/>
      <c r="AJ823" s="5"/>
      <c r="AK823" s="5"/>
      <c r="AL823" s="5"/>
      <c r="AM823" s="5"/>
      <c r="AN823" s="5"/>
    </row>
    <row r="824" spans="1:40">
      <c r="A824" s="51"/>
      <c r="B824" s="51"/>
      <c r="C824" s="5"/>
      <c r="D824" s="51"/>
      <c r="E824" s="51"/>
      <c r="F824" s="55"/>
      <c r="G824" s="56"/>
      <c r="H824" s="57"/>
      <c r="I824" s="51"/>
      <c r="J824" s="51"/>
      <c r="K824" s="134"/>
      <c r="L824" s="59"/>
      <c r="M824" s="134"/>
      <c r="N824" s="134"/>
      <c r="O824" s="51"/>
      <c r="P824" s="51"/>
      <c r="Q824" s="37"/>
      <c r="R824" s="70"/>
      <c r="S824" s="70"/>
      <c r="T824" s="70"/>
      <c r="U824" s="71"/>
      <c r="V824" s="73"/>
      <c r="W824" s="75"/>
      <c r="X824" s="117"/>
      <c r="Y824" s="111"/>
      <c r="Z824" s="111"/>
      <c r="AH824" s="5"/>
      <c r="AI824" s="5"/>
      <c r="AJ824" s="5"/>
      <c r="AK824" s="5"/>
      <c r="AL824" s="5"/>
      <c r="AM824" s="5"/>
      <c r="AN824" s="5"/>
    </row>
    <row r="825" spans="1:40">
      <c r="A825" s="51"/>
      <c r="B825" s="51"/>
      <c r="C825" s="5"/>
      <c r="D825" s="51"/>
      <c r="E825" s="51"/>
      <c r="F825" s="55"/>
      <c r="G825" s="56"/>
      <c r="H825" s="57"/>
      <c r="I825" s="51"/>
      <c r="J825" s="51"/>
      <c r="K825" s="134"/>
      <c r="L825" s="59"/>
      <c r="M825" s="134"/>
      <c r="N825" s="134"/>
      <c r="O825" s="51"/>
      <c r="P825" s="51"/>
      <c r="Q825" s="37"/>
      <c r="R825" s="70"/>
      <c r="S825" s="70"/>
      <c r="T825" s="70"/>
      <c r="U825" s="71"/>
      <c r="V825" s="73"/>
      <c r="W825" s="75"/>
      <c r="X825" s="117"/>
      <c r="Y825" s="111"/>
      <c r="Z825" s="111"/>
      <c r="AH825" s="5"/>
      <c r="AI825" s="5"/>
      <c r="AJ825" s="5"/>
      <c r="AK825" s="5"/>
      <c r="AL825" s="5"/>
      <c r="AM825" s="5"/>
      <c r="AN825" s="5"/>
    </row>
    <row r="826" spans="1:40">
      <c r="A826" s="51"/>
      <c r="B826" s="51"/>
      <c r="C826" s="5"/>
      <c r="D826" s="51"/>
      <c r="E826" s="51"/>
      <c r="F826" s="55"/>
      <c r="G826" s="56"/>
      <c r="H826" s="57"/>
      <c r="I826" s="51"/>
      <c r="J826" s="51"/>
      <c r="K826" s="134"/>
      <c r="L826" s="59"/>
      <c r="M826" s="134"/>
      <c r="N826" s="134"/>
      <c r="O826" s="51"/>
      <c r="P826" s="51"/>
      <c r="Q826" s="37"/>
      <c r="R826" s="70"/>
      <c r="S826" s="70"/>
      <c r="T826" s="70"/>
      <c r="U826" s="71"/>
      <c r="V826" s="73"/>
      <c r="W826" s="75"/>
      <c r="X826" s="117"/>
      <c r="Y826" s="111"/>
      <c r="Z826" s="111"/>
      <c r="AH826" s="5"/>
      <c r="AI826" s="5"/>
      <c r="AJ826" s="5"/>
      <c r="AK826" s="5"/>
      <c r="AL826" s="5"/>
      <c r="AM826" s="5"/>
      <c r="AN826" s="5"/>
    </row>
    <row r="827" spans="1:40">
      <c r="A827" s="51"/>
      <c r="B827" s="51"/>
      <c r="C827" s="5"/>
      <c r="D827" s="51"/>
      <c r="E827" s="51"/>
      <c r="F827" s="55"/>
      <c r="G827" s="56"/>
      <c r="H827" s="57"/>
      <c r="I827" s="51"/>
      <c r="J827" s="51"/>
      <c r="K827" s="134"/>
      <c r="L827" s="59"/>
      <c r="M827" s="134"/>
      <c r="N827" s="134"/>
      <c r="O827" s="51"/>
      <c r="P827" s="51"/>
      <c r="Q827" s="37"/>
      <c r="R827" s="70"/>
      <c r="S827" s="70"/>
      <c r="T827" s="70"/>
      <c r="U827" s="71"/>
      <c r="V827" s="73"/>
      <c r="W827" s="75"/>
      <c r="X827" s="117"/>
      <c r="Y827" s="111"/>
      <c r="Z827" s="111"/>
      <c r="AH827" s="5"/>
      <c r="AI827" s="5"/>
      <c r="AJ827" s="5"/>
      <c r="AK827" s="5"/>
      <c r="AL827" s="5"/>
      <c r="AM827" s="5"/>
      <c r="AN827" s="5"/>
    </row>
    <row r="828" spans="1:40">
      <c r="A828" s="51"/>
      <c r="B828" s="51"/>
      <c r="C828" s="5"/>
      <c r="D828" s="51"/>
      <c r="E828" s="51"/>
      <c r="F828" s="55"/>
      <c r="G828" s="56"/>
      <c r="H828" s="57"/>
      <c r="I828" s="51"/>
      <c r="J828" s="51"/>
      <c r="K828" s="134"/>
      <c r="L828" s="59"/>
      <c r="M828" s="134"/>
      <c r="N828" s="134"/>
      <c r="O828" s="51"/>
      <c r="P828" s="51"/>
      <c r="Q828" s="37"/>
      <c r="R828" s="70"/>
      <c r="S828" s="70"/>
      <c r="T828" s="70"/>
      <c r="U828" s="71"/>
      <c r="V828" s="73"/>
      <c r="W828" s="75"/>
      <c r="X828" s="117"/>
      <c r="Y828" s="111"/>
      <c r="Z828" s="111"/>
      <c r="AH828" s="5"/>
      <c r="AI828" s="5"/>
      <c r="AJ828" s="5"/>
      <c r="AK828" s="5"/>
      <c r="AL828" s="5"/>
      <c r="AM828" s="5"/>
      <c r="AN828" s="5"/>
    </row>
    <row r="829" spans="1:40">
      <c r="A829" s="51"/>
      <c r="B829" s="51"/>
      <c r="C829" s="5"/>
      <c r="D829" s="51"/>
      <c r="E829" s="51"/>
      <c r="F829" s="55"/>
      <c r="G829" s="56"/>
      <c r="H829" s="57"/>
      <c r="I829" s="51"/>
      <c r="J829" s="51"/>
      <c r="K829" s="134"/>
      <c r="L829" s="59"/>
      <c r="M829" s="134"/>
      <c r="N829" s="134"/>
      <c r="O829" s="51"/>
      <c r="P829" s="51"/>
      <c r="Q829" s="37"/>
      <c r="R829" s="70"/>
      <c r="S829" s="70"/>
      <c r="T829" s="70"/>
      <c r="U829" s="71"/>
      <c r="V829" s="73"/>
      <c r="W829" s="75"/>
      <c r="X829" s="117"/>
      <c r="Y829" s="111"/>
      <c r="Z829" s="111"/>
      <c r="AH829" s="5"/>
      <c r="AI829" s="5"/>
      <c r="AJ829" s="5"/>
      <c r="AK829" s="5"/>
      <c r="AL829" s="5"/>
      <c r="AM829" s="5"/>
      <c r="AN829" s="5"/>
    </row>
    <row r="830" spans="1:40">
      <c r="A830" s="51"/>
      <c r="B830" s="51"/>
      <c r="C830" s="5"/>
      <c r="D830" s="51"/>
      <c r="E830" s="51"/>
      <c r="F830" s="55"/>
      <c r="G830" s="56"/>
      <c r="H830" s="57"/>
      <c r="I830" s="51"/>
      <c r="J830" s="51"/>
      <c r="K830" s="134"/>
      <c r="L830" s="59"/>
      <c r="M830" s="134"/>
      <c r="N830" s="134"/>
      <c r="O830" s="51"/>
      <c r="P830" s="51"/>
      <c r="Q830" s="37"/>
      <c r="R830" s="70"/>
      <c r="S830" s="70"/>
      <c r="T830" s="70"/>
      <c r="U830" s="71"/>
      <c r="V830" s="73"/>
      <c r="W830" s="75"/>
      <c r="X830" s="117"/>
      <c r="Y830" s="111"/>
      <c r="Z830" s="111"/>
      <c r="AH830" s="5"/>
      <c r="AI830" s="5"/>
      <c r="AJ830" s="5"/>
      <c r="AK830" s="5"/>
      <c r="AL830" s="5"/>
      <c r="AM830" s="5"/>
      <c r="AN830" s="5"/>
    </row>
    <row r="831" spans="1:40">
      <c r="A831" s="51"/>
      <c r="B831" s="51"/>
      <c r="C831" s="5"/>
      <c r="D831" s="51"/>
      <c r="E831" s="51"/>
      <c r="F831" s="55"/>
      <c r="G831" s="56"/>
      <c r="H831" s="57"/>
      <c r="I831" s="51"/>
      <c r="J831" s="51"/>
      <c r="K831" s="134"/>
      <c r="L831" s="59"/>
      <c r="M831" s="134"/>
      <c r="N831" s="134"/>
      <c r="O831" s="51"/>
      <c r="P831" s="51"/>
      <c r="Q831" s="37"/>
      <c r="R831" s="70"/>
      <c r="S831" s="70"/>
      <c r="T831" s="70"/>
      <c r="U831" s="71"/>
      <c r="V831" s="73"/>
      <c r="W831" s="75"/>
      <c r="X831" s="117"/>
      <c r="Y831" s="111"/>
      <c r="Z831" s="111"/>
      <c r="AH831" s="5"/>
      <c r="AI831" s="5"/>
      <c r="AJ831" s="5"/>
      <c r="AK831" s="5"/>
      <c r="AL831" s="5"/>
      <c r="AM831" s="5"/>
      <c r="AN831" s="5"/>
    </row>
    <row r="832" spans="1:40">
      <c r="A832" s="51"/>
      <c r="B832" s="51"/>
      <c r="C832" s="5"/>
      <c r="D832" s="51"/>
      <c r="E832" s="51"/>
      <c r="F832" s="55"/>
      <c r="G832" s="56"/>
      <c r="H832" s="57"/>
      <c r="I832" s="51"/>
      <c r="J832" s="51"/>
      <c r="K832" s="134"/>
      <c r="L832" s="59"/>
      <c r="M832" s="134"/>
      <c r="N832" s="134"/>
      <c r="O832" s="51"/>
      <c r="P832" s="51"/>
      <c r="Q832" s="37"/>
      <c r="R832" s="70"/>
      <c r="S832" s="70"/>
      <c r="T832" s="70"/>
      <c r="U832" s="71"/>
      <c r="V832" s="73"/>
      <c r="W832" s="75"/>
      <c r="X832" s="117"/>
      <c r="Y832" s="111"/>
      <c r="Z832" s="111"/>
      <c r="AH832" s="5"/>
      <c r="AI832" s="5"/>
      <c r="AJ832" s="5"/>
      <c r="AK832" s="5"/>
      <c r="AL832" s="5"/>
      <c r="AM832" s="5"/>
      <c r="AN832" s="5"/>
    </row>
    <row r="833" spans="1:40">
      <c r="A833" s="51"/>
      <c r="B833" s="51"/>
      <c r="C833" s="5"/>
      <c r="D833" s="51"/>
      <c r="E833" s="51"/>
      <c r="F833" s="55"/>
      <c r="G833" s="56"/>
      <c r="H833" s="57"/>
      <c r="I833" s="51"/>
      <c r="J833" s="51"/>
      <c r="K833" s="134"/>
      <c r="L833" s="59"/>
      <c r="M833" s="134"/>
      <c r="N833" s="134"/>
      <c r="O833" s="51"/>
      <c r="P833" s="51"/>
      <c r="Q833" s="37"/>
      <c r="R833" s="70"/>
      <c r="S833" s="70"/>
      <c r="T833" s="70"/>
      <c r="U833" s="71"/>
      <c r="V833" s="73"/>
      <c r="W833" s="75"/>
      <c r="X833" s="117"/>
      <c r="Y833" s="111"/>
      <c r="Z833" s="111"/>
      <c r="AH833" s="5"/>
      <c r="AI833" s="5"/>
      <c r="AJ833" s="5"/>
      <c r="AK833" s="5"/>
      <c r="AL833" s="5"/>
      <c r="AM833" s="5"/>
      <c r="AN833" s="5"/>
    </row>
    <row r="834" spans="1:40">
      <c r="A834" s="51"/>
      <c r="B834" s="51"/>
      <c r="C834" s="5"/>
      <c r="D834" s="51"/>
      <c r="E834" s="51"/>
      <c r="F834" s="55"/>
      <c r="G834" s="56"/>
      <c r="H834" s="57"/>
      <c r="I834" s="51"/>
      <c r="J834" s="51"/>
      <c r="K834" s="134"/>
      <c r="L834" s="59"/>
      <c r="M834" s="134"/>
      <c r="N834" s="134"/>
      <c r="O834" s="51"/>
      <c r="P834" s="51"/>
      <c r="Q834" s="37"/>
      <c r="R834" s="70"/>
      <c r="S834" s="70"/>
      <c r="T834" s="70"/>
      <c r="U834" s="71"/>
      <c r="V834" s="73"/>
      <c r="W834" s="75"/>
      <c r="X834" s="117"/>
      <c r="Y834" s="111"/>
      <c r="Z834" s="111"/>
      <c r="AH834" s="5"/>
      <c r="AI834" s="5"/>
      <c r="AJ834" s="5"/>
      <c r="AK834" s="5"/>
      <c r="AL834" s="5"/>
      <c r="AM834" s="5"/>
      <c r="AN834" s="5"/>
    </row>
    <row r="835" spans="1:40">
      <c r="A835" s="51"/>
      <c r="B835" s="51"/>
      <c r="C835" s="5"/>
      <c r="D835" s="51"/>
      <c r="E835" s="51"/>
      <c r="F835" s="55"/>
      <c r="G835" s="56"/>
      <c r="H835" s="57"/>
      <c r="I835" s="51"/>
      <c r="J835" s="51"/>
      <c r="K835" s="134"/>
      <c r="L835" s="59"/>
      <c r="M835" s="134"/>
      <c r="N835" s="134"/>
      <c r="O835" s="51"/>
      <c r="P835" s="51"/>
      <c r="Q835" s="37"/>
      <c r="R835" s="70"/>
      <c r="S835" s="70"/>
      <c r="T835" s="70"/>
      <c r="U835" s="71"/>
      <c r="V835" s="73"/>
      <c r="W835" s="75"/>
      <c r="X835" s="117"/>
      <c r="Y835" s="111"/>
      <c r="Z835" s="111"/>
      <c r="AH835" s="5"/>
      <c r="AI835" s="5"/>
      <c r="AJ835" s="5"/>
      <c r="AK835" s="5"/>
      <c r="AL835" s="5"/>
      <c r="AM835" s="5"/>
      <c r="AN835" s="5"/>
    </row>
    <row r="836" spans="1:40">
      <c r="A836" s="51"/>
      <c r="B836" s="51"/>
      <c r="C836" s="5"/>
      <c r="D836" s="51"/>
      <c r="E836" s="51"/>
      <c r="F836" s="55"/>
      <c r="G836" s="56"/>
      <c r="H836" s="57"/>
      <c r="I836" s="51"/>
      <c r="J836" s="51"/>
      <c r="K836" s="134"/>
      <c r="L836" s="59"/>
      <c r="M836" s="134"/>
      <c r="N836" s="134"/>
      <c r="O836" s="51"/>
      <c r="P836" s="51"/>
      <c r="Q836" s="37"/>
      <c r="R836" s="70"/>
      <c r="S836" s="70"/>
      <c r="T836" s="70"/>
      <c r="U836" s="71"/>
      <c r="V836" s="73"/>
      <c r="W836" s="75"/>
      <c r="X836" s="117"/>
      <c r="Y836" s="111"/>
      <c r="Z836" s="111"/>
      <c r="AH836" s="5"/>
      <c r="AI836" s="5"/>
      <c r="AJ836" s="5"/>
      <c r="AK836" s="5"/>
      <c r="AL836" s="5"/>
      <c r="AM836" s="5"/>
      <c r="AN836" s="5"/>
    </row>
    <row r="837" spans="1:40">
      <c r="A837" s="51"/>
      <c r="B837" s="51"/>
      <c r="C837" s="5"/>
      <c r="D837" s="51"/>
      <c r="E837" s="51"/>
      <c r="F837" s="55"/>
      <c r="G837" s="56"/>
      <c r="H837" s="57"/>
      <c r="I837" s="51"/>
      <c r="J837" s="51"/>
      <c r="K837" s="134"/>
      <c r="L837" s="59"/>
      <c r="M837" s="134"/>
      <c r="N837" s="134"/>
      <c r="O837" s="51"/>
      <c r="P837" s="51"/>
      <c r="Q837" s="37"/>
      <c r="R837" s="70"/>
      <c r="S837" s="70"/>
      <c r="T837" s="70"/>
      <c r="U837" s="71"/>
      <c r="V837" s="73"/>
      <c r="W837" s="75"/>
      <c r="X837" s="117"/>
      <c r="Y837" s="111"/>
      <c r="Z837" s="111"/>
      <c r="AH837" s="5"/>
      <c r="AI837" s="5"/>
      <c r="AJ837" s="5"/>
      <c r="AK837" s="5"/>
      <c r="AL837" s="5"/>
      <c r="AM837" s="5"/>
      <c r="AN837" s="5"/>
    </row>
    <row r="838" spans="1:40">
      <c r="A838" s="51"/>
      <c r="B838" s="51"/>
      <c r="C838" s="5"/>
      <c r="D838" s="51"/>
      <c r="E838" s="51"/>
      <c r="F838" s="55"/>
      <c r="G838" s="56"/>
      <c r="H838" s="57"/>
      <c r="I838" s="51"/>
      <c r="J838" s="51"/>
      <c r="K838" s="134"/>
      <c r="L838" s="59"/>
      <c r="M838" s="134"/>
      <c r="N838" s="134"/>
      <c r="O838" s="51"/>
      <c r="P838" s="51"/>
      <c r="Q838" s="37"/>
      <c r="R838" s="70"/>
      <c r="S838" s="70"/>
      <c r="T838" s="70"/>
      <c r="U838" s="71"/>
      <c r="V838" s="73"/>
      <c r="W838" s="75"/>
      <c r="X838" s="117"/>
      <c r="Y838" s="111"/>
      <c r="Z838" s="111"/>
      <c r="AH838" s="5"/>
      <c r="AI838" s="5"/>
      <c r="AJ838" s="5"/>
      <c r="AK838" s="5"/>
      <c r="AL838" s="5"/>
      <c r="AM838" s="5"/>
      <c r="AN838" s="5"/>
    </row>
    <row r="839" spans="1:40">
      <c r="A839" s="51"/>
      <c r="B839" s="51"/>
      <c r="C839" s="5"/>
      <c r="D839" s="51"/>
      <c r="E839" s="51"/>
      <c r="F839" s="55"/>
      <c r="G839" s="56"/>
      <c r="H839" s="57"/>
      <c r="I839" s="51"/>
      <c r="J839" s="51"/>
      <c r="K839" s="134"/>
      <c r="L839" s="59"/>
      <c r="M839" s="134"/>
      <c r="N839" s="134"/>
      <c r="O839" s="51"/>
      <c r="P839" s="51"/>
      <c r="Q839" s="37"/>
      <c r="R839" s="70"/>
      <c r="S839" s="70"/>
      <c r="T839" s="70"/>
      <c r="U839" s="71"/>
      <c r="V839" s="73"/>
      <c r="W839" s="75"/>
      <c r="X839" s="117"/>
      <c r="Y839" s="111"/>
      <c r="Z839" s="111"/>
      <c r="AH839" s="5"/>
      <c r="AI839" s="5"/>
      <c r="AJ839" s="5"/>
      <c r="AK839" s="5"/>
      <c r="AL839" s="5"/>
      <c r="AM839" s="5"/>
      <c r="AN839" s="5"/>
    </row>
    <row r="840" spans="1:40">
      <c r="A840" s="51"/>
      <c r="B840" s="51"/>
      <c r="C840" s="5"/>
      <c r="D840" s="51"/>
      <c r="E840" s="51"/>
      <c r="F840" s="55"/>
      <c r="G840" s="56"/>
      <c r="H840" s="57"/>
      <c r="I840" s="51"/>
      <c r="J840" s="51"/>
      <c r="K840" s="134"/>
      <c r="L840" s="59"/>
      <c r="M840" s="134"/>
      <c r="N840" s="134"/>
      <c r="O840" s="51"/>
      <c r="P840" s="51"/>
      <c r="Q840" s="37"/>
      <c r="R840" s="70"/>
      <c r="S840" s="70"/>
      <c r="T840" s="70"/>
      <c r="U840" s="71"/>
      <c r="V840" s="73"/>
      <c r="W840" s="75"/>
      <c r="X840" s="117"/>
      <c r="Y840" s="111"/>
      <c r="Z840" s="111"/>
      <c r="AH840" s="5"/>
      <c r="AI840" s="5"/>
      <c r="AJ840" s="5"/>
      <c r="AK840" s="5"/>
      <c r="AL840" s="5"/>
      <c r="AM840" s="5"/>
      <c r="AN840" s="5"/>
    </row>
    <row r="841" spans="1:40">
      <c r="A841" s="51"/>
      <c r="B841" s="51"/>
      <c r="C841" s="5"/>
      <c r="D841" s="51"/>
      <c r="E841" s="51"/>
      <c r="F841" s="55"/>
      <c r="G841" s="56"/>
      <c r="H841" s="57"/>
      <c r="I841" s="51"/>
      <c r="J841" s="51"/>
      <c r="K841" s="134"/>
      <c r="L841" s="59"/>
      <c r="M841" s="134"/>
      <c r="N841" s="134"/>
      <c r="O841" s="51"/>
      <c r="P841" s="51"/>
      <c r="Q841" s="37"/>
      <c r="R841" s="70"/>
      <c r="S841" s="70"/>
      <c r="T841" s="70"/>
      <c r="U841" s="71"/>
      <c r="V841" s="73"/>
      <c r="W841" s="75"/>
      <c r="X841" s="117"/>
      <c r="Y841" s="111"/>
      <c r="Z841" s="111"/>
      <c r="AH841" s="5"/>
      <c r="AI841" s="5"/>
      <c r="AJ841" s="5"/>
      <c r="AK841" s="5"/>
      <c r="AL841" s="5"/>
      <c r="AM841" s="5"/>
      <c r="AN841" s="5"/>
    </row>
    <row r="842" spans="1:40">
      <c r="A842" s="51"/>
      <c r="B842" s="51"/>
      <c r="C842" s="5"/>
      <c r="D842" s="51"/>
      <c r="E842" s="51"/>
      <c r="F842" s="55"/>
      <c r="G842" s="56"/>
      <c r="H842" s="57"/>
      <c r="I842" s="51"/>
      <c r="J842" s="51"/>
      <c r="K842" s="134"/>
      <c r="L842" s="59"/>
      <c r="M842" s="134"/>
      <c r="N842" s="134"/>
      <c r="O842" s="51"/>
      <c r="P842" s="51"/>
      <c r="Q842" s="37"/>
      <c r="R842" s="70"/>
      <c r="S842" s="70"/>
      <c r="T842" s="70"/>
      <c r="U842" s="71"/>
      <c r="V842" s="73"/>
      <c r="W842" s="75"/>
      <c r="X842" s="117"/>
      <c r="Y842" s="111"/>
      <c r="Z842" s="111"/>
      <c r="AH842" s="5"/>
      <c r="AI842" s="5"/>
      <c r="AJ842" s="5"/>
      <c r="AK842" s="5"/>
      <c r="AL842" s="5"/>
      <c r="AM842" s="5"/>
      <c r="AN842" s="5"/>
    </row>
    <row r="843" spans="1:40">
      <c r="A843" s="51"/>
      <c r="B843" s="51"/>
      <c r="C843" s="5"/>
      <c r="D843" s="51"/>
      <c r="E843" s="51"/>
      <c r="F843" s="55"/>
      <c r="G843" s="56"/>
      <c r="H843" s="57"/>
      <c r="I843" s="51"/>
      <c r="J843" s="51"/>
      <c r="K843" s="134"/>
      <c r="L843" s="59"/>
      <c r="M843" s="134"/>
      <c r="N843" s="134"/>
      <c r="O843" s="51"/>
      <c r="P843" s="51"/>
      <c r="Q843" s="37"/>
      <c r="R843" s="70"/>
      <c r="S843" s="70"/>
      <c r="T843" s="70"/>
      <c r="U843" s="71"/>
      <c r="V843" s="73"/>
      <c r="W843" s="75"/>
      <c r="X843" s="117"/>
      <c r="Y843" s="111"/>
      <c r="Z843" s="111"/>
      <c r="AH843" s="5"/>
      <c r="AI843" s="5"/>
      <c r="AJ843" s="5"/>
      <c r="AK843" s="5"/>
      <c r="AL843" s="5"/>
      <c r="AM843" s="5"/>
      <c r="AN843" s="5"/>
    </row>
    <row r="844" spans="1:40">
      <c r="A844" s="51"/>
      <c r="B844" s="51"/>
      <c r="C844" s="5"/>
      <c r="D844" s="51"/>
      <c r="E844" s="51"/>
      <c r="F844" s="55"/>
      <c r="G844" s="56"/>
      <c r="H844" s="57"/>
      <c r="I844" s="51"/>
      <c r="J844" s="51"/>
      <c r="K844" s="134"/>
      <c r="L844" s="59"/>
      <c r="M844" s="134"/>
      <c r="N844" s="134"/>
      <c r="O844" s="51"/>
      <c r="P844" s="51"/>
      <c r="Q844" s="37"/>
      <c r="R844" s="70"/>
      <c r="S844" s="70"/>
      <c r="T844" s="70"/>
      <c r="U844" s="71"/>
      <c r="V844" s="73"/>
      <c r="W844" s="75"/>
      <c r="X844" s="117"/>
      <c r="Y844" s="111"/>
      <c r="Z844" s="111"/>
      <c r="AH844" s="5"/>
      <c r="AI844" s="5"/>
      <c r="AJ844" s="5"/>
      <c r="AK844" s="5"/>
      <c r="AL844" s="5"/>
      <c r="AM844" s="5"/>
      <c r="AN844" s="5"/>
    </row>
    <row r="845" spans="1:40">
      <c r="A845" s="51"/>
      <c r="B845" s="51"/>
      <c r="C845" s="5"/>
      <c r="D845" s="51"/>
      <c r="E845" s="51"/>
      <c r="F845" s="55"/>
      <c r="G845" s="56"/>
      <c r="H845" s="57"/>
      <c r="I845" s="51"/>
      <c r="J845" s="51"/>
      <c r="K845" s="134"/>
      <c r="L845" s="59"/>
      <c r="M845" s="134"/>
      <c r="N845" s="134"/>
      <c r="O845" s="51"/>
      <c r="P845" s="51"/>
      <c r="Q845" s="37"/>
      <c r="R845" s="70"/>
      <c r="S845" s="70"/>
      <c r="T845" s="70"/>
      <c r="U845" s="71"/>
      <c r="V845" s="73"/>
      <c r="W845" s="75"/>
      <c r="X845" s="117"/>
      <c r="Y845" s="111"/>
      <c r="Z845" s="111"/>
      <c r="AH845" s="5"/>
      <c r="AI845" s="5"/>
      <c r="AJ845" s="5"/>
      <c r="AK845" s="5"/>
      <c r="AL845" s="5"/>
      <c r="AM845" s="5"/>
      <c r="AN845" s="5"/>
    </row>
    <row r="846" spans="1:40">
      <c r="A846" s="51"/>
      <c r="B846" s="51"/>
      <c r="C846" s="5"/>
      <c r="D846" s="51"/>
      <c r="E846" s="51"/>
      <c r="F846" s="55"/>
      <c r="G846" s="56"/>
      <c r="H846" s="57"/>
      <c r="I846" s="51"/>
      <c r="J846" s="51"/>
      <c r="K846" s="134"/>
      <c r="L846" s="59"/>
      <c r="M846" s="134"/>
      <c r="N846" s="134"/>
      <c r="O846" s="51"/>
      <c r="P846" s="51"/>
      <c r="Q846" s="37"/>
      <c r="R846" s="70"/>
      <c r="S846" s="70"/>
      <c r="T846" s="70"/>
      <c r="U846" s="71"/>
      <c r="V846" s="73"/>
      <c r="W846" s="75"/>
      <c r="X846" s="117"/>
      <c r="Y846" s="111"/>
      <c r="Z846" s="111"/>
      <c r="AH846" s="5"/>
      <c r="AI846" s="5"/>
      <c r="AJ846" s="5"/>
      <c r="AK846" s="5"/>
      <c r="AL846" s="5"/>
      <c r="AM846" s="5"/>
      <c r="AN846" s="5"/>
    </row>
    <row r="847" spans="1:40">
      <c r="A847" s="51"/>
      <c r="B847" s="51"/>
      <c r="C847" s="5"/>
      <c r="D847" s="51"/>
      <c r="E847" s="51"/>
      <c r="F847" s="55"/>
      <c r="G847" s="56"/>
      <c r="H847" s="57"/>
      <c r="I847" s="51"/>
      <c r="J847" s="51"/>
      <c r="K847" s="134"/>
      <c r="L847" s="59"/>
      <c r="M847" s="134"/>
      <c r="N847" s="134"/>
      <c r="O847" s="51"/>
      <c r="P847" s="51"/>
      <c r="Q847" s="37"/>
      <c r="R847" s="70"/>
      <c r="S847" s="70"/>
      <c r="T847" s="70"/>
      <c r="U847" s="71"/>
      <c r="V847" s="73"/>
      <c r="W847" s="75"/>
      <c r="X847" s="117"/>
      <c r="Y847" s="111"/>
      <c r="Z847" s="111"/>
      <c r="AH847" s="5"/>
      <c r="AI847" s="5"/>
      <c r="AJ847" s="5"/>
      <c r="AK847" s="5"/>
      <c r="AL847" s="5"/>
      <c r="AM847" s="5"/>
      <c r="AN847" s="5"/>
    </row>
    <row r="848" spans="1:40">
      <c r="A848" s="51"/>
      <c r="B848" s="51"/>
      <c r="C848" s="5"/>
      <c r="D848" s="51"/>
      <c r="E848" s="51"/>
      <c r="F848" s="55"/>
      <c r="G848" s="56"/>
      <c r="H848" s="57"/>
      <c r="I848" s="51"/>
      <c r="J848" s="51"/>
      <c r="K848" s="134"/>
      <c r="L848" s="59"/>
      <c r="M848" s="134"/>
      <c r="N848" s="134"/>
      <c r="O848" s="51"/>
      <c r="P848" s="51"/>
      <c r="Q848" s="37"/>
      <c r="R848" s="70"/>
      <c r="S848" s="70"/>
      <c r="T848" s="70"/>
      <c r="U848" s="71"/>
      <c r="V848" s="73"/>
      <c r="W848" s="75"/>
      <c r="X848" s="117"/>
      <c r="Y848" s="111"/>
      <c r="Z848" s="111"/>
      <c r="AH848" s="5"/>
      <c r="AI848" s="5"/>
      <c r="AJ848" s="5"/>
      <c r="AK848" s="5"/>
      <c r="AL848" s="5"/>
      <c r="AM848" s="5"/>
      <c r="AN848" s="5"/>
    </row>
    <row r="849" spans="1:40">
      <c r="A849" s="51"/>
      <c r="B849" s="51"/>
      <c r="C849" s="5"/>
      <c r="D849" s="51"/>
      <c r="E849" s="51"/>
      <c r="F849" s="55"/>
      <c r="G849" s="56"/>
      <c r="H849" s="57"/>
      <c r="I849" s="51"/>
      <c r="J849" s="51"/>
      <c r="K849" s="134"/>
      <c r="L849" s="59"/>
      <c r="M849" s="134"/>
      <c r="N849" s="134"/>
      <c r="O849" s="51"/>
      <c r="P849" s="51"/>
      <c r="Q849" s="37"/>
      <c r="R849" s="70"/>
      <c r="S849" s="70"/>
      <c r="T849" s="70"/>
      <c r="U849" s="71"/>
      <c r="V849" s="73"/>
      <c r="W849" s="75"/>
      <c r="X849" s="117"/>
      <c r="Y849" s="111"/>
      <c r="Z849" s="111"/>
      <c r="AH849" s="5"/>
      <c r="AI849" s="5"/>
      <c r="AJ849" s="5"/>
      <c r="AK849" s="5"/>
      <c r="AL849" s="5"/>
      <c r="AM849" s="5"/>
      <c r="AN849" s="5"/>
    </row>
    <row r="850" spans="1:40">
      <c r="A850" s="51"/>
      <c r="B850" s="51"/>
      <c r="C850" s="5"/>
      <c r="D850" s="51"/>
      <c r="E850" s="51"/>
      <c r="F850" s="55"/>
      <c r="G850" s="56"/>
      <c r="H850" s="57"/>
      <c r="I850" s="51"/>
      <c r="J850" s="51"/>
      <c r="K850" s="134"/>
      <c r="L850" s="59"/>
      <c r="M850" s="134"/>
      <c r="N850" s="134"/>
      <c r="O850" s="51"/>
      <c r="P850" s="51"/>
      <c r="Q850" s="37"/>
      <c r="R850" s="70"/>
      <c r="S850" s="70"/>
      <c r="T850" s="70"/>
      <c r="U850" s="71"/>
      <c r="V850" s="73"/>
      <c r="W850" s="75"/>
      <c r="X850" s="117"/>
      <c r="Y850" s="111"/>
      <c r="Z850" s="111"/>
      <c r="AH850" s="5"/>
      <c r="AI850" s="5"/>
      <c r="AJ850" s="5"/>
      <c r="AK850" s="5"/>
      <c r="AL850" s="5"/>
      <c r="AM850" s="5"/>
      <c r="AN850" s="5"/>
    </row>
    <row r="851" spans="1:40">
      <c r="A851" s="51"/>
      <c r="B851" s="51"/>
      <c r="C851" s="5"/>
      <c r="D851" s="51"/>
      <c r="E851" s="51"/>
      <c r="F851" s="55"/>
      <c r="G851" s="56"/>
      <c r="H851" s="57"/>
      <c r="I851" s="51"/>
      <c r="J851" s="51"/>
      <c r="K851" s="134"/>
      <c r="L851" s="59"/>
      <c r="M851" s="134"/>
      <c r="N851" s="134"/>
      <c r="O851" s="51"/>
      <c r="P851" s="51"/>
      <c r="Q851" s="37"/>
      <c r="R851" s="70"/>
      <c r="S851" s="70"/>
      <c r="T851" s="70"/>
      <c r="U851" s="71"/>
      <c r="V851" s="73"/>
      <c r="W851" s="75"/>
      <c r="X851" s="117"/>
      <c r="Y851" s="111"/>
      <c r="Z851" s="111"/>
      <c r="AH851" s="5"/>
      <c r="AI851" s="5"/>
      <c r="AJ851" s="5"/>
      <c r="AK851" s="5"/>
      <c r="AL851" s="5"/>
      <c r="AM851" s="5"/>
      <c r="AN851" s="5"/>
    </row>
    <row r="852" spans="1:40">
      <c r="A852" s="51"/>
      <c r="B852" s="51"/>
      <c r="C852" s="5"/>
      <c r="D852" s="51"/>
      <c r="E852" s="51"/>
      <c r="F852" s="55"/>
      <c r="G852" s="56"/>
      <c r="H852" s="57"/>
      <c r="I852" s="51"/>
      <c r="J852" s="51"/>
      <c r="K852" s="134"/>
      <c r="L852" s="59"/>
      <c r="M852" s="134"/>
      <c r="N852" s="134"/>
      <c r="O852" s="51"/>
      <c r="P852" s="51"/>
      <c r="Q852" s="37"/>
      <c r="R852" s="70"/>
      <c r="S852" s="70"/>
      <c r="T852" s="70"/>
      <c r="U852" s="71"/>
      <c r="V852" s="73"/>
      <c r="W852" s="75"/>
      <c r="X852" s="117"/>
      <c r="Y852" s="111"/>
      <c r="Z852" s="111"/>
      <c r="AH852" s="5"/>
      <c r="AI852" s="5"/>
      <c r="AJ852" s="5"/>
      <c r="AK852" s="5"/>
      <c r="AL852" s="5"/>
      <c r="AM852" s="5"/>
      <c r="AN852" s="5"/>
    </row>
    <row r="853" spans="1:40">
      <c r="A853" s="51"/>
      <c r="B853" s="51"/>
      <c r="C853" s="5"/>
      <c r="D853" s="51"/>
      <c r="E853" s="51"/>
      <c r="F853" s="55"/>
      <c r="G853" s="56"/>
      <c r="H853" s="57"/>
      <c r="I853" s="51"/>
      <c r="J853" s="51"/>
      <c r="K853" s="134"/>
      <c r="L853" s="59"/>
      <c r="M853" s="134"/>
      <c r="N853" s="134"/>
      <c r="O853" s="51"/>
      <c r="P853" s="51"/>
      <c r="Q853" s="37"/>
      <c r="R853" s="70"/>
      <c r="S853" s="70"/>
      <c r="T853" s="70"/>
      <c r="U853" s="71"/>
      <c r="V853" s="73"/>
      <c r="W853" s="75"/>
      <c r="X853" s="117"/>
      <c r="Y853" s="111"/>
      <c r="Z853" s="111"/>
      <c r="AH853" s="5"/>
      <c r="AI853" s="5"/>
      <c r="AJ853" s="5"/>
      <c r="AK853" s="5"/>
      <c r="AL853" s="5"/>
      <c r="AM853" s="5"/>
      <c r="AN853" s="5"/>
    </row>
    <row r="854" spans="1:40">
      <c r="A854" s="51"/>
      <c r="B854" s="51"/>
      <c r="C854" s="5"/>
      <c r="D854" s="51"/>
      <c r="E854" s="51"/>
      <c r="F854" s="55"/>
      <c r="G854" s="56"/>
      <c r="H854" s="57"/>
      <c r="I854" s="51"/>
      <c r="J854" s="51"/>
      <c r="K854" s="134"/>
      <c r="L854" s="59"/>
      <c r="M854" s="134"/>
      <c r="N854" s="134"/>
      <c r="O854" s="51"/>
      <c r="P854" s="51"/>
      <c r="Q854" s="37"/>
      <c r="R854" s="70"/>
      <c r="S854" s="70"/>
      <c r="T854" s="70"/>
      <c r="U854" s="71"/>
      <c r="V854" s="73"/>
      <c r="W854" s="75"/>
      <c r="X854" s="117"/>
      <c r="Y854" s="111"/>
      <c r="Z854" s="111"/>
      <c r="AH854" s="5"/>
      <c r="AI854" s="5"/>
      <c r="AJ854" s="5"/>
      <c r="AK854" s="5"/>
      <c r="AL854" s="5"/>
      <c r="AM854" s="5"/>
      <c r="AN854" s="5"/>
    </row>
    <row r="855" spans="1:40">
      <c r="A855" s="51"/>
      <c r="B855" s="51"/>
      <c r="C855" s="5"/>
      <c r="D855" s="51"/>
      <c r="E855" s="51"/>
      <c r="F855" s="55"/>
      <c r="G855" s="56"/>
      <c r="H855" s="57"/>
      <c r="I855" s="51"/>
      <c r="J855" s="51"/>
      <c r="K855" s="134"/>
      <c r="L855" s="59"/>
      <c r="M855" s="134"/>
      <c r="N855" s="134"/>
      <c r="O855" s="51"/>
      <c r="P855" s="51"/>
      <c r="Q855" s="37"/>
      <c r="R855" s="70"/>
      <c r="S855" s="70"/>
      <c r="T855" s="70"/>
      <c r="U855" s="71"/>
      <c r="V855" s="73"/>
      <c r="W855" s="75"/>
      <c r="X855" s="117"/>
      <c r="Y855" s="111"/>
      <c r="Z855" s="111"/>
      <c r="AH855" s="5"/>
      <c r="AI855" s="5"/>
      <c r="AJ855" s="5"/>
      <c r="AK855" s="5"/>
      <c r="AL855" s="5"/>
      <c r="AM855" s="5"/>
      <c r="AN855" s="5"/>
    </row>
    <row r="856" spans="1:40">
      <c r="A856" s="51"/>
      <c r="B856" s="51"/>
      <c r="C856" s="5"/>
      <c r="D856" s="51"/>
      <c r="E856" s="51"/>
      <c r="F856" s="55"/>
      <c r="G856" s="56"/>
      <c r="H856" s="57"/>
      <c r="I856" s="51"/>
      <c r="J856" s="51"/>
      <c r="K856" s="134"/>
      <c r="L856" s="59"/>
      <c r="M856" s="134"/>
      <c r="N856" s="134"/>
      <c r="O856" s="51"/>
      <c r="P856" s="51"/>
      <c r="Q856" s="37"/>
      <c r="R856" s="70"/>
      <c r="S856" s="70"/>
      <c r="T856" s="70"/>
      <c r="U856" s="71"/>
      <c r="V856" s="73"/>
      <c r="W856" s="75"/>
      <c r="X856" s="117"/>
      <c r="Y856" s="111"/>
      <c r="Z856" s="111"/>
      <c r="AH856" s="5"/>
      <c r="AI856" s="5"/>
      <c r="AJ856" s="5"/>
      <c r="AK856" s="5"/>
      <c r="AL856" s="5"/>
      <c r="AM856" s="5"/>
      <c r="AN856" s="5"/>
    </row>
    <row r="857" spans="1:40">
      <c r="A857" s="51"/>
      <c r="B857" s="51"/>
      <c r="C857" s="5"/>
      <c r="D857" s="51"/>
      <c r="E857" s="51"/>
      <c r="F857" s="55"/>
      <c r="G857" s="56"/>
      <c r="H857" s="57"/>
      <c r="I857" s="51"/>
      <c r="J857" s="51"/>
      <c r="K857" s="134"/>
      <c r="L857" s="59"/>
      <c r="M857" s="134"/>
      <c r="N857" s="134"/>
      <c r="O857" s="51"/>
      <c r="P857" s="51"/>
      <c r="Q857" s="37"/>
      <c r="R857" s="70"/>
      <c r="S857" s="70"/>
      <c r="T857" s="70"/>
      <c r="U857" s="71"/>
      <c r="V857" s="73"/>
      <c r="W857" s="75"/>
      <c r="X857" s="117"/>
      <c r="Y857" s="111"/>
      <c r="Z857" s="111"/>
      <c r="AH857" s="5"/>
      <c r="AI857" s="5"/>
      <c r="AJ857" s="5"/>
      <c r="AK857" s="5"/>
      <c r="AL857" s="5"/>
      <c r="AM857" s="5"/>
      <c r="AN857" s="5"/>
    </row>
    <row r="858" spans="1:40">
      <c r="A858" s="51"/>
      <c r="B858" s="51"/>
      <c r="C858" s="5"/>
      <c r="D858" s="51"/>
      <c r="E858" s="51"/>
      <c r="F858" s="55"/>
      <c r="G858" s="56"/>
      <c r="H858" s="57"/>
      <c r="I858" s="51"/>
      <c r="J858" s="51"/>
      <c r="K858" s="134"/>
      <c r="L858" s="59"/>
      <c r="M858" s="134"/>
      <c r="N858" s="134"/>
      <c r="O858" s="51"/>
      <c r="P858" s="51"/>
      <c r="Q858" s="37"/>
      <c r="R858" s="70"/>
      <c r="S858" s="70"/>
      <c r="T858" s="70"/>
      <c r="U858" s="71"/>
      <c r="V858" s="73"/>
      <c r="W858" s="75"/>
      <c r="X858" s="117"/>
      <c r="Y858" s="111"/>
      <c r="Z858" s="111"/>
      <c r="AH858" s="5"/>
      <c r="AI858" s="5"/>
      <c r="AJ858" s="5"/>
      <c r="AK858" s="5"/>
      <c r="AL858" s="5"/>
      <c r="AM858" s="5"/>
      <c r="AN858" s="5"/>
    </row>
    <row r="859" spans="1:40">
      <c r="A859" s="51"/>
      <c r="B859" s="51"/>
      <c r="C859" s="5"/>
      <c r="D859" s="51"/>
      <c r="E859" s="51"/>
      <c r="F859" s="55"/>
      <c r="G859" s="56"/>
      <c r="H859" s="57"/>
      <c r="I859" s="51"/>
      <c r="J859" s="51"/>
      <c r="K859" s="134"/>
      <c r="L859" s="59"/>
      <c r="M859" s="134"/>
      <c r="N859" s="134"/>
      <c r="O859" s="51"/>
      <c r="P859" s="51"/>
      <c r="Q859" s="37"/>
      <c r="R859" s="70"/>
      <c r="S859" s="70"/>
      <c r="T859" s="70"/>
      <c r="U859" s="71"/>
      <c r="V859" s="73"/>
      <c r="W859" s="75"/>
      <c r="X859" s="117"/>
      <c r="Y859" s="111"/>
      <c r="Z859" s="111"/>
      <c r="AH859" s="5"/>
      <c r="AI859" s="5"/>
      <c r="AJ859" s="5"/>
      <c r="AK859" s="5"/>
      <c r="AL859" s="5"/>
      <c r="AM859" s="5"/>
      <c r="AN859" s="5"/>
    </row>
    <row r="860" spans="1:40">
      <c r="A860" s="51"/>
      <c r="B860" s="51"/>
      <c r="C860" s="5"/>
      <c r="D860" s="51"/>
      <c r="E860" s="51"/>
      <c r="F860" s="55"/>
      <c r="G860" s="56"/>
      <c r="H860" s="57"/>
      <c r="I860" s="51"/>
      <c r="J860" s="51"/>
      <c r="K860" s="134"/>
      <c r="L860" s="59"/>
      <c r="M860" s="134"/>
      <c r="N860" s="134"/>
      <c r="O860" s="51"/>
      <c r="P860" s="51"/>
      <c r="Q860" s="37"/>
      <c r="R860" s="70"/>
      <c r="S860" s="70"/>
      <c r="T860" s="70"/>
      <c r="U860" s="71"/>
      <c r="V860" s="73"/>
      <c r="W860" s="75"/>
      <c r="X860" s="117"/>
      <c r="Y860" s="111"/>
      <c r="Z860" s="111"/>
      <c r="AH860" s="5"/>
      <c r="AI860" s="5"/>
      <c r="AJ860" s="5"/>
      <c r="AK860" s="5"/>
      <c r="AL860" s="5"/>
      <c r="AM860" s="5"/>
      <c r="AN860" s="5"/>
    </row>
    <row r="861" spans="1:40">
      <c r="A861" s="51"/>
      <c r="B861" s="51"/>
      <c r="C861" s="5"/>
      <c r="D861" s="51"/>
      <c r="E861" s="51"/>
      <c r="F861" s="55"/>
      <c r="G861" s="56"/>
      <c r="H861" s="57"/>
      <c r="I861" s="51"/>
      <c r="J861" s="51"/>
      <c r="K861" s="134"/>
      <c r="L861" s="59"/>
      <c r="M861" s="134"/>
      <c r="N861" s="134"/>
      <c r="O861" s="51"/>
      <c r="P861" s="51"/>
      <c r="Q861" s="37"/>
      <c r="R861" s="70"/>
      <c r="S861" s="70"/>
      <c r="T861" s="70"/>
      <c r="U861" s="71"/>
      <c r="V861" s="73"/>
      <c r="W861" s="75"/>
      <c r="X861" s="117"/>
      <c r="Y861" s="111"/>
      <c r="Z861" s="111"/>
      <c r="AH861" s="5"/>
      <c r="AI861" s="5"/>
      <c r="AJ861" s="5"/>
      <c r="AK861" s="5"/>
      <c r="AL861" s="5"/>
      <c r="AM861" s="5"/>
      <c r="AN861" s="5"/>
    </row>
    <row r="862" spans="1:40">
      <c r="A862" s="51"/>
      <c r="B862" s="51"/>
      <c r="C862" s="5"/>
      <c r="D862" s="51"/>
      <c r="E862" s="51"/>
      <c r="F862" s="55"/>
      <c r="G862" s="56"/>
      <c r="H862" s="57"/>
      <c r="I862" s="51"/>
      <c r="J862" s="51"/>
      <c r="K862" s="134"/>
      <c r="L862" s="59"/>
      <c r="M862" s="134"/>
      <c r="N862" s="134"/>
      <c r="O862" s="51"/>
      <c r="P862" s="51"/>
      <c r="Q862" s="37"/>
      <c r="R862" s="70"/>
      <c r="S862" s="70"/>
      <c r="T862" s="70"/>
      <c r="U862" s="71"/>
      <c r="V862" s="73"/>
      <c r="W862" s="75"/>
      <c r="X862" s="117"/>
      <c r="Y862" s="111"/>
      <c r="Z862" s="111"/>
      <c r="AH862" s="5"/>
      <c r="AI862" s="5"/>
      <c r="AJ862" s="5"/>
      <c r="AK862" s="5"/>
      <c r="AL862" s="5"/>
      <c r="AM862" s="5"/>
      <c r="AN862" s="5"/>
    </row>
    <row r="863" spans="1:40">
      <c r="A863" s="51"/>
      <c r="B863" s="51"/>
      <c r="C863" s="5"/>
      <c r="D863" s="51"/>
      <c r="E863" s="51"/>
      <c r="F863" s="55"/>
      <c r="G863" s="56"/>
      <c r="H863" s="57"/>
      <c r="I863" s="51"/>
      <c r="J863" s="51"/>
      <c r="K863" s="134"/>
      <c r="L863" s="59"/>
      <c r="M863" s="134"/>
      <c r="N863" s="134"/>
      <c r="O863" s="51"/>
      <c r="P863" s="51"/>
      <c r="Q863" s="37"/>
      <c r="R863" s="70"/>
      <c r="S863" s="70"/>
      <c r="T863" s="70"/>
      <c r="U863" s="71"/>
      <c r="V863" s="73"/>
      <c r="W863" s="75"/>
      <c r="X863" s="117"/>
      <c r="Y863" s="111"/>
      <c r="Z863" s="111"/>
      <c r="AH863" s="5"/>
      <c r="AI863" s="5"/>
      <c r="AJ863" s="5"/>
      <c r="AK863" s="5"/>
      <c r="AL863" s="5"/>
      <c r="AM863" s="5"/>
      <c r="AN863" s="5"/>
    </row>
    <row r="864" spans="1:40">
      <c r="A864" s="51"/>
      <c r="B864" s="51"/>
      <c r="C864" s="5"/>
      <c r="D864" s="51"/>
      <c r="E864" s="51"/>
      <c r="F864" s="55"/>
      <c r="G864" s="56"/>
      <c r="H864" s="57"/>
      <c r="I864" s="51"/>
      <c r="J864" s="51"/>
      <c r="K864" s="134"/>
      <c r="L864" s="59"/>
      <c r="M864" s="134"/>
      <c r="N864" s="134"/>
      <c r="O864" s="51"/>
      <c r="P864" s="51"/>
      <c r="Q864" s="37"/>
      <c r="R864" s="70"/>
      <c r="S864" s="70"/>
      <c r="T864" s="70"/>
      <c r="U864" s="71"/>
      <c r="V864" s="73"/>
      <c r="W864" s="75"/>
      <c r="X864" s="117"/>
      <c r="Y864" s="111"/>
      <c r="Z864" s="111"/>
      <c r="AH864" s="5"/>
      <c r="AI864" s="5"/>
      <c r="AJ864" s="5"/>
      <c r="AK864" s="5"/>
      <c r="AL864" s="5"/>
      <c r="AM864" s="5"/>
      <c r="AN864" s="5"/>
    </row>
    <row r="865" spans="1:40">
      <c r="A865" s="51"/>
      <c r="B865" s="51"/>
      <c r="C865" s="5"/>
      <c r="D865" s="51"/>
      <c r="E865" s="51"/>
      <c r="F865" s="55"/>
      <c r="G865" s="56"/>
      <c r="H865" s="57"/>
      <c r="I865" s="51"/>
      <c r="J865" s="51"/>
      <c r="K865" s="134"/>
      <c r="L865" s="59"/>
      <c r="M865" s="134"/>
      <c r="N865" s="134"/>
      <c r="O865" s="51"/>
      <c r="P865" s="51"/>
      <c r="Q865" s="37"/>
      <c r="R865" s="70"/>
      <c r="S865" s="70"/>
      <c r="T865" s="70"/>
      <c r="U865" s="71"/>
      <c r="V865" s="73"/>
      <c r="W865" s="75"/>
      <c r="X865" s="117"/>
      <c r="Y865" s="111"/>
      <c r="Z865" s="111"/>
      <c r="AH865" s="5"/>
      <c r="AI865" s="5"/>
      <c r="AJ865" s="5"/>
      <c r="AK865" s="5"/>
      <c r="AL865" s="5"/>
      <c r="AM865" s="5"/>
      <c r="AN865" s="5"/>
    </row>
    <row r="866" spans="1:40">
      <c r="A866" s="51"/>
      <c r="B866" s="51"/>
      <c r="C866" s="5"/>
      <c r="D866" s="51"/>
      <c r="E866" s="51"/>
      <c r="F866" s="55"/>
      <c r="G866" s="56"/>
      <c r="H866" s="57"/>
      <c r="I866" s="51"/>
      <c r="J866" s="51"/>
      <c r="K866" s="134"/>
      <c r="L866" s="59"/>
      <c r="M866" s="134"/>
      <c r="N866" s="134"/>
      <c r="O866" s="51"/>
      <c r="P866" s="51"/>
      <c r="Q866" s="37"/>
      <c r="R866" s="70"/>
      <c r="S866" s="70"/>
      <c r="T866" s="70"/>
      <c r="U866" s="71"/>
      <c r="V866" s="73"/>
      <c r="W866" s="75"/>
      <c r="X866" s="117"/>
      <c r="Y866" s="111"/>
      <c r="Z866" s="111"/>
      <c r="AH866" s="5"/>
      <c r="AI866" s="5"/>
      <c r="AJ866" s="5"/>
      <c r="AK866" s="5"/>
      <c r="AL866" s="5"/>
      <c r="AM866" s="5"/>
      <c r="AN866" s="5"/>
    </row>
    <row r="867" spans="1:40">
      <c r="A867" s="51"/>
      <c r="B867" s="51"/>
      <c r="C867" s="5"/>
      <c r="D867" s="51"/>
      <c r="E867" s="51"/>
      <c r="F867" s="55"/>
      <c r="G867" s="56"/>
      <c r="H867" s="57"/>
      <c r="I867" s="51"/>
      <c r="J867" s="51"/>
      <c r="K867" s="134"/>
      <c r="L867" s="59"/>
      <c r="M867" s="134"/>
      <c r="N867" s="134"/>
      <c r="O867" s="51"/>
      <c r="P867" s="51"/>
      <c r="Q867" s="37"/>
      <c r="R867" s="70"/>
      <c r="S867" s="70"/>
      <c r="T867" s="70"/>
      <c r="U867" s="71"/>
      <c r="V867" s="73"/>
      <c r="W867" s="75"/>
      <c r="X867" s="117"/>
      <c r="Y867" s="111"/>
      <c r="Z867" s="111"/>
      <c r="AH867" s="5"/>
      <c r="AI867" s="5"/>
      <c r="AJ867" s="5"/>
      <c r="AK867" s="5"/>
      <c r="AL867" s="5"/>
      <c r="AM867" s="5"/>
      <c r="AN867" s="5"/>
    </row>
    <row r="868" spans="1:40">
      <c r="A868" s="51"/>
      <c r="B868" s="51"/>
      <c r="C868" s="5"/>
      <c r="D868" s="51"/>
      <c r="E868" s="51"/>
      <c r="F868" s="55"/>
      <c r="G868" s="56"/>
      <c r="H868" s="57"/>
      <c r="I868" s="51"/>
      <c r="J868" s="51"/>
      <c r="K868" s="134"/>
      <c r="L868" s="59"/>
      <c r="M868" s="134"/>
      <c r="N868" s="134"/>
      <c r="O868" s="51"/>
      <c r="P868" s="51"/>
      <c r="Q868" s="37"/>
      <c r="R868" s="70"/>
      <c r="S868" s="70"/>
      <c r="T868" s="70"/>
      <c r="U868" s="71"/>
      <c r="V868" s="73"/>
      <c r="W868" s="75"/>
      <c r="X868" s="117"/>
      <c r="Y868" s="111"/>
      <c r="Z868" s="111"/>
      <c r="AH868" s="5"/>
      <c r="AI868" s="5"/>
      <c r="AJ868" s="5"/>
      <c r="AK868" s="5"/>
      <c r="AL868" s="5"/>
      <c r="AM868" s="5"/>
      <c r="AN868" s="5"/>
    </row>
    <row r="869" spans="1:40">
      <c r="A869" s="51"/>
      <c r="B869" s="51"/>
      <c r="C869" s="5"/>
      <c r="D869" s="51"/>
      <c r="E869" s="51"/>
      <c r="F869" s="55"/>
      <c r="G869" s="56"/>
      <c r="H869" s="57"/>
      <c r="I869" s="51"/>
      <c r="J869" s="51"/>
      <c r="K869" s="134"/>
      <c r="L869" s="59"/>
      <c r="M869" s="134"/>
      <c r="N869" s="134"/>
      <c r="O869" s="51"/>
      <c r="P869" s="51"/>
      <c r="Q869" s="37"/>
      <c r="R869" s="70"/>
      <c r="S869" s="70"/>
      <c r="T869" s="70"/>
      <c r="U869" s="71"/>
      <c r="V869" s="73"/>
      <c r="W869" s="75"/>
      <c r="X869" s="117"/>
      <c r="Y869" s="111"/>
      <c r="Z869" s="111"/>
      <c r="AH869" s="5"/>
      <c r="AI869" s="5"/>
      <c r="AJ869" s="5"/>
      <c r="AK869" s="5"/>
      <c r="AL869" s="5"/>
      <c r="AM869" s="5"/>
      <c r="AN869" s="5"/>
    </row>
    <row r="870" spans="1:40">
      <c r="A870" s="51"/>
      <c r="B870" s="51"/>
      <c r="C870" s="5"/>
      <c r="D870" s="51"/>
      <c r="E870" s="51"/>
      <c r="F870" s="55"/>
      <c r="G870" s="56"/>
      <c r="H870" s="57"/>
      <c r="I870" s="51"/>
      <c r="J870" s="51"/>
      <c r="K870" s="134"/>
      <c r="L870" s="59"/>
      <c r="M870" s="134"/>
      <c r="N870" s="134"/>
      <c r="O870" s="51"/>
      <c r="P870" s="51"/>
      <c r="Q870" s="37"/>
      <c r="R870" s="70"/>
      <c r="S870" s="70"/>
      <c r="T870" s="70"/>
      <c r="U870" s="71"/>
      <c r="V870" s="73"/>
      <c r="W870" s="75"/>
      <c r="X870" s="117"/>
      <c r="Y870" s="111"/>
      <c r="Z870" s="111"/>
      <c r="AH870" s="5"/>
      <c r="AI870" s="5"/>
      <c r="AJ870" s="5"/>
      <c r="AK870" s="5"/>
      <c r="AL870" s="5"/>
      <c r="AM870" s="5"/>
      <c r="AN870" s="5"/>
    </row>
    <row r="871" spans="1:40">
      <c r="A871" s="51"/>
      <c r="B871" s="51"/>
      <c r="C871" s="5"/>
      <c r="D871" s="51"/>
      <c r="E871" s="51"/>
      <c r="F871" s="55"/>
      <c r="G871" s="56"/>
      <c r="H871" s="57"/>
      <c r="I871" s="51"/>
      <c r="J871" s="51"/>
      <c r="K871" s="134"/>
      <c r="L871" s="59"/>
      <c r="M871" s="134"/>
      <c r="N871" s="134"/>
      <c r="O871" s="51"/>
      <c r="P871" s="51"/>
      <c r="Q871" s="37"/>
      <c r="R871" s="70"/>
      <c r="S871" s="70"/>
      <c r="T871" s="70"/>
      <c r="U871" s="71"/>
      <c r="V871" s="73"/>
      <c r="W871" s="75"/>
      <c r="X871" s="117"/>
      <c r="Y871" s="111"/>
      <c r="Z871" s="111"/>
      <c r="AH871" s="5"/>
      <c r="AI871" s="5"/>
      <c r="AJ871" s="5"/>
      <c r="AK871" s="5"/>
      <c r="AL871" s="5"/>
      <c r="AM871" s="5"/>
      <c r="AN871" s="5"/>
    </row>
    <row r="872" spans="1:40">
      <c r="A872" s="51"/>
      <c r="B872" s="51"/>
      <c r="C872" s="5"/>
      <c r="D872" s="51"/>
      <c r="E872" s="51"/>
      <c r="F872" s="55"/>
      <c r="G872" s="56"/>
      <c r="H872" s="57"/>
      <c r="I872" s="51"/>
      <c r="J872" s="51"/>
      <c r="K872" s="134"/>
      <c r="L872" s="59"/>
      <c r="M872" s="134"/>
      <c r="N872" s="134"/>
      <c r="O872" s="51"/>
      <c r="P872" s="51"/>
      <c r="Q872" s="37"/>
      <c r="R872" s="70"/>
      <c r="S872" s="70"/>
      <c r="T872" s="70"/>
      <c r="U872" s="71"/>
      <c r="V872" s="73"/>
      <c r="W872" s="75"/>
      <c r="X872" s="117"/>
      <c r="Y872" s="111"/>
      <c r="Z872" s="111"/>
      <c r="AH872" s="5"/>
      <c r="AI872" s="5"/>
      <c r="AJ872" s="5"/>
      <c r="AK872" s="5"/>
      <c r="AL872" s="5"/>
      <c r="AM872" s="5"/>
      <c r="AN872" s="5"/>
    </row>
    <row r="873" spans="1:40">
      <c r="A873" s="51"/>
      <c r="B873" s="51"/>
      <c r="C873" s="5"/>
      <c r="D873" s="51"/>
      <c r="E873" s="51"/>
      <c r="F873" s="55"/>
      <c r="G873" s="56"/>
      <c r="H873" s="57"/>
      <c r="I873" s="51"/>
      <c r="J873" s="51"/>
      <c r="K873" s="134"/>
      <c r="L873" s="59"/>
      <c r="M873" s="134"/>
      <c r="N873" s="134"/>
      <c r="O873" s="51"/>
      <c r="P873" s="51"/>
      <c r="Q873" s="37"/>
      <c r="R873" s="70"/>
      <c r="S873" s="70"/>
      <c r="T873" s="70"/>
      <c r="U873" s="71"/>
      <c r="V873" s="73"/>
      <c r="W873" s="75"/>
      <c r="X873" s="117"/>
      <c r="Y873" s="111"/>
      <c r="Z873" s="111"/>
      <c r="AH873" s="5"/>
      <c r="AI873" s="5"/>
      <c r="AJ873" s="5"/>
      <c r="AK873" s="5"/>
      <c r="AL873" s="5"/>
      <c r="AM873" s="5"/>
      <c r="AN873" s="5"/>
    </row>
    <row r="874" spans="1:40">
      <c r="A874" s="51"/>
      <c r="B874" s="51"/>
      <c r="C874" s="5"/>
      <c r="D874" s="51"/>
      <c r="E874" s="51"/>
      <c r="F874" s="55"/>
      <c r="G874" s="56"/>
      <c r="H874" s="57"/>
      <c r="I874" s="51"/>
      <c r="J874" s="51"/>
      <c r="K874" s="134"/>
      <c r="L874" s="59"/>
      <c r="M874" s="134"/>
      <c r="N874" s="134"/>
      <c r="O874" s="51"/>
      <c r="P874" s="51"/>
      <c r="Q874" s="37"/>
      <c r="R874" s="70"/>
      <c r="S874" s="70"/>
      <c r="T874" s="70"/>
      <c r="U874" s="71"/>
      <c r="V874" s="73"/>
      <c r="W874" s="75"/>
      <c r="X874" s="117"/>
      <c r="Y874" s="111"/>
      <c r="Z874" s="111"/>
      <c r="AH874" s="5"/>
      <c r="AI874" s="5"/>
      <c r="AJ874" s="5"/>
      <c r="AK874" s="5"/>
      <c r="AL874" s="5"/>
      <c r="AM874" s="5"/>
      <c r="AN874" s="5"/>
    </row>
    <row r="875" spans="1:40">
      <c r="A875" s="51"/>
      <c r="B875" s="51"/>
      <c r="C875" s="5"/>
      <c r="D875" s="51"/>
      <c r="E875" s="51"/>
      <c r="F875" s="55"/>
      <c r="G875" s="56"/>
      <c r="H875" s="57"/>
      <c r="I875" s="51"/>
      <c r="J875" s="51"/>
      <c r="K875" s="134"/>
      <c r="L875" s="59"/>
      <c r="M875" s="134"/>
      <c r="N875" s="134"/>
      <c r="O875" s="51"/>
      <c r="P875" s="51"/>
      <c r="Q875" s="37"/>
      <c r="R875" s="70"/>
      <c r="S875" s="70"/>
      <c r="T875" s="70"/>
      <c r="U875" s="71"/>
      <c r="V875" s="73"/>
      <c r="W875" s="75"/>
      <c r="X875" s="117"/>
      <c r="Y875" s="111"/>
      <c r="Z875" s="111"/>
      <c r="AH875" s="5"/>
      <c r="AI875" s="5"/>
      <c r="AJ875" s="5"/>
      <c r="AK875" s="5"/>
      <c r="AL875" s="5"/>
      <c r="AM875" s="5"/>
      <c r="AN875" s="5"/>
    </row>
    <row r="876" spans="1:40">
      <c r="A876" s="51"/>
      <c r="B876" s="54"/>
      <c r="C876" s="5"/>
      <c r="D876" s="54"/>
      <c r="E876" s="51"/>
      <c r="F876" s="55"/>
      <c r="G876" s="56"/>
      <c r="H876" s="57"/>
      <c r="I876" s="51"/>
      <c r="J876" s="51"/>
      <c r="K876" s="134"/>
      <c r="L876" s="135"/>
      <c r="M876" s="134"/>
      <c r="N876" s="134"/>
      <c r="O876" s="51"/>
      <c r="P876" s="136"/>
      <c r="Q876" s="37"/>
      <c r="R876" s="70"/>
      <c r="S876" s="70"/>
      <c r="T876" s="70"/>
      <c r="U876" s="71"/>
      <c r="V876" s="73"/>
      <c r="W876" s="102"/>
      <c r="X876" s="117"/>
      <c r="Y876" s="111"/>
      <c r="Z876" s="111"/>
      <c r="AH876" s="5"/>
      <c r="AI876" s="5"/>
      <c r="AJ876" s="5"/>
      <c r="AK876" s="5"/>
      <c r="AL876" s="5"/>
      <c r="AM876" s="5"/>
      <c r="AN876" s="5"/>
    </row>
    <row r="877" spans="1:40">
      <c r="A877" s="54"/>
      <c r="B877" s="54"/>
      <c r="C877" s="5"/>
      <c r="D877" s="54"/>
      <c r="E877" s="51"/>
      <c r="F877" s="137"/>
      <c r="G877" s="80"/>
      <c r="H877" s="76"/>
      <c r="I877" s="51"/>
      <c r="J877" s="51"/>
      <c r="K877" s="134"/>
      <c r="L877" s="135"/>
      <c r="M877" s="134"/>
      <c r="N877" s="134"/>
      <c r="O877" s="58"/>
      <c r="P877" s="136"/>
      <c r="Q877" s="37"/>
      <c r="R877" s="69"/>
      <c r="S877" s="69"/>
      <c r="T877" s="69"/>
      <c r="U877" s="61"/>
      <c r="V877" s="62"/>
      <c r="W877" s="83"/>
      <c r="X877" s="78"/>
      <c r="Y877" s="54"/>
      <c r="Z877" s="54"/>
      <c r="AH877" s="5"/>
      <c r="AI877" s="5"/>
      <c r="AJ877" s="5"/>
      <c r="AK877" s="5"/>
      <c r="AL877" s="5"/>
      <c r="AM877" s="5"/>
      <c r="AN877" s="5"/>
    </row>
    <row r="878" spans="1:40">
      <c r="A878" s="54"/>
      <c r="B878" s="54"/>
      <c r="C878" s="5"/>
      <c r="D878" s="54"/>
      <c r="E878" s="51"/>
      <c r="F878" s="137"/>
      <c r="G878" s="80"/>
      <c r="H878" s="76"/>
      <c r="I878" s="51"/>
      <c r="J878" s="51"/>
      <c r="K878" s="134"/>
      <c r="L878" s="59"/>
      <c r="M878" s="134"/>
      <c r="N878" s="134"/>
      <c r="O878" s="58"/>
      <c r="P878" s="136"/>
      <c r="Q878" s="37"/>
      <c r="R878" s="74"/>
      <c r="S878" s="74"/>
      <c r="T878" s="74"/>
      <c r="U878" s="71"/>
      <c r="V878" s="73"/>
      <c r="W878" s="75"/>
      <c r="X878" s="78"/>
      <c r="Y878" s="54"/>
      <c r="Z878" s="54"/>
      <c r="AH878" s="5"/>
      <c r="AI878" s="5"/>
      <c r="AJ878" s="5"/>
      <c r="AK878" s="5"/>
      <c r="AL878" s="5"/>
      <c r="AM878" s="5"/>
      <c r="AN878" s="5"/>
    </row>
    <row r="879" spans="1:40">
      <c r="A879" s="54"/>
      <c r="B879" s="54"/>
      <c r="C879" s="5"/>
      <c r="D879" s="54"/>
      <c r="E879" s="51"/>
      <c r="F879" s="137"/>
      <c r="G879" s="80"/>
      <c r="H879" s="76"/>
      <c r="I879" s="51"/>
      <c r="J879" s="51"/>
      <c r="K879" s="134"/>
      <c r="L879" s="59"/>
      <c r="M879" s="134"/>
      <c r="N879" s="134"/>
      <c r="O879" s="58"/>
      <c r="P879" s="136"/>
      <c r="Q879" s="37"/>
      <c r="R879" s="74"/>
      <c r="S879" s="74"/>
      <c r="T879" s="74"/>
      <c r="U879" s="71"/>
      <c r="V879" s="73"/>
      <c r="W879" s="75"/>
      <c r="X879" s="78"/>
      <c r="Y879" s="54"/>
      <c r="Z879" s="54"/>
      <c r="AH879" s="5"/>
      <c r="AI879" s="5"/>
      <c r="AJ879" s="5"/>
      <c r="AK879" s="5"/>
      <c r="AL879" s="5"/>
      <c r="AM879" s="5"/>
      <c r="AN879" s="5"/>
    </row>
    <row r="880" spans="1:40">
      <c r="A880" s="54"/>
      <c r="B880" s="54"/>
      <c r="C880" s="5"/>
      <c r="D880" s="54"/>
      <c r="E880" s="51"/>
      <c r="F880" s="137"/>
      <c r="G880" s="80"/>
      <c r="H880" s="76"/>
      <c r="I880" s="51"/>
      <c r="J880" s="51"/>
      <c r="K880" s="134"/>
      <c r="L880" s="59"/>
      <c r="M880" s="134"/>
      <c r="N880" s="134"/>
      <c r="O880" s="58"/>
      <c r="P880" s="136"/>
      <c r="Q880" s="37"/>
      <c r="R880" s="74"/>
      <c r="S880" s="74"/>
      <c r="T880" s="74"/>
      <c r="U880" s="71"/>
      <c r="V880" s="73"/>
      <c r="W880" s="75"/>
      <c r="X880" s="78"/>
      <c r="Y880" s="54"/>
      <c r="Z880" s="54"/>
      <c r="AH880" s="5"/>
      <c r="AI880" s="5"/>
      <c r="AJ880" s="5"/>
      <c r="AK880" s="5"/>
      <c r="AL880" s="5"/>
      <c r="AM880" s="5"/>
      <c r="AN880" s="5"/>
    </row>
    <row r="881" spans="1:40">
      <c r="A881" s="54"/>
      <c r="B881" s="54"/>
      <c r="C881" s="5"/>
      <c r="D881" s="54"/>
      <c r="E881" s="51"/>
      <c r="F881" s="76"/>
      <c r="G881" s="76"/>
      <c r="H881" s="76"/>
      <c r="I881" s="51"/>
      <c r="J881" s="51"/>
      <c r="K881" s="134"/>
      <c r="L881" s="59"/>
      <c r="M881" s="134"/>
      <c r="N881" s="134"/>
      <c r="O881" s="58"/>
      <c r="P881" s="136"/>
      <c r="Q881" s="37"/>
      <c r="R881" s="74"/>
      <c r="S881" s="74"/>
      <c r="T881" s="74"/>
      <c r="U881" s="71"/>
      <c r="V881" s="73"/>
      <c r="W881" s="75"/>
      <c r="X881" s="78"/>
      <c r="Y881" s="54"/>
      <c r="Z881" s="54"/>
      <c r="AH881" s="5"/>
      <c r="AI881" s="5"/>
      <c r="AJ881" s="5"/>
      <c r="AK881" s="5"/>
      <c r="AL881" s="5"/>
      <c r="AM881" s="5"/>
      <c r="AN881" s="5"/>
    </row>
    <row r="882" spans="1:40">
      <c r="A882" s="54"/>
      <c r="B882" s="54"/>
      <c r="C882" s="5"/>
      <c r="D882" s="54"/>
      <c r="E882" s="51"/>
      <c r="F882" s="137"/>
      <c r="G882" s="76"/>
      <c r="H882" s="76"/>
      <c r="I882" s="51"/>
      <c r="J882" s="51"/>
      <c r="K882" s="134"/>
      <c r="L882" s="59"/>
      <c r="M882" s="134"/>
      <c r="N882" s="134"/>
      <c r="O882" s="58"/>
      <c r="P882" s="136"/>
      <c r="Q882" s="37"/>
      <c r="R882" s="74"/>
      <c r="S882" s="74"/>
      <c r="T882" s="74"/>
      <c r="U882" s="71"/>
      <c r="V882" s="73"/>
      <c r="W882" s="75"/>
      <c r="X882" s="78"/>
      <c r="Y882" s="54"/>
      <c r="Z882" s="54"/>
      <c r="AH882" s="5"/>
      <c r="AI882" s="5"/>
      <c r="AJ882" s="5"/>
      <c r="AK882" s="5"/>
      <c r="AL882" s="5"/>
      <c r="AM882" s="5"/>
      <c r="AN882" s="5"/>
    </row>
    <row r="883" spans="1:40">
      <c r="A883" s="54"/>
      <c r="B883" s="54"/>
      <c r="C883" s="5"/>
      <c r="D883" s="54"/>
      <c r="E883" s="51"/>
      <c r="F883" s="137"/>
      <c r="G883" s="80"/>
      <c r="H883" s="57"/>
      <c r="I883" s="51"/>
      <c r="J883" s="51"/>
      <c r="K883" s="134"/>
      <c r="L883" s="59"/>
      <c r="M883" s="134"/>
      <c r="N883" s="134"/>
      <c r="O883" s="58"/>
      <c r="P883" s="136"/>
      <c r="Q883" s="37"/>
      <c r="R883" s="74"/>
      <c r="S883" s="74"/>
      <c r="T883" s="74"/>
      <c r="U883" s="71"/>
      <c r="V883" s="73"/>
      <c r="W883" s="75"/>
      <c r="X883" s="78"/>
      <c r="Y883" s="54"/>
      <c r="Z883" s="54"/>
      <c r="AH883" s="5"/>
      <c r="AI883" s="5"/>
      <c r="AJ883" s="5"/>
      <c r="AK883" s="5"/>
      <c r="AL883" s="5"/>
      <c r="AM883" s="5"/>
      <c r="AN883" s="5"/>
    </row>
    <row r="884" spans="1:40">
      <c r="A884" s="54"/>
      <c r="B884" s="54"/>
      <c r="C884" s="5"/>
      <c r="D884" s="54"/>
      <c r="E884" s="51"/>
      <c r="F884" s="137"/>
      <c r="G884" s="80"/>
      <c r="H884" s="76"/>
      <c r="I884" s="51"/>
      <c r="J884" s="51"/>
      <c r="K884" s="134"/>
      <c r="L884" s="59"/>
      <c r="M884" s="134"/>
      <c r="N884" s="134"/>
      <c r="O884" s="58"/>
      <c r="P884" s="136"/>
      <c r="Q884" s="37"/>
      <c r="R884" s="74"/>
      <c r="S884" s="74"/>
      <c r="T884" s="74"/>
      <c r="U884" s="71"/>
      <c r="V884" s="73"/>
      <c r="W884" s="75"/>
      <c r="X884" s="78"/>
      <c r="Y884" s="54"/>
      <c r="Z884" s="54"/>
      <c r="AH884" s="5"/>
      <c r="AI884" s="5"/>
      <c r="AJ884" s="5"/>
      <c r="AK884" s="5"/>
      <c r="AL884" s="5"/>
      <c r="AM884" s="5"/>
      <c r="AN884" s="5"/>
    </row>
    <row r="885" spans="1:40">
      <c r="A885" s="54"/>
      <c r="B885" s="54"/>
      <c r="C885" s="5"/>
      <c r="D885" s="54"/>
      <c r="E885" s="51"/>
      <c r="F885" s="137"/>
      <c r="G885" s="80"/>
      <c r="H885" s="76"/>
      <c r="I885" s="51"/>
      <c r="J885" s="51"/>
      <c r="K885" s="134"/>
      <c r="L885" s="59"/>
      <c r="M885" s="134"/>
      <c r="N885" s="134"/>
      <c r="O885" s="58"/>
      <c r="P885" s="136"/>
      <c r="Q885" s="37"/>
      <c r="R885" s="74"/>
      <c r="S885" s="74"/>
      <c r="T885" s="74"/>
      <c r="U885" s="71"/>
      <c r="V885" s="73"/>
      <c r="W885" s="75"/>
      <c r="X885" s="78"/>
      <c r="Y885" s="54"/>
      <c r="Z885" s="54"/>
      <c r="AH885" s="5"/>
      <c r="AI885" s="5"/>
      <c r="AJ885" s="5"/>
      <c r="AK885" s="5"/>
      <c r="AL885" s="5"/>
      <c r="AM885" s="5"/>
      <c r="AN885" s="5"/>
    </row>
    <row r="886" spans="1:40">
      <c r="A886" s="107"/>
      <c r="B886" s="54"/>
      <c r="C886" s="5"/>
      <c r="D886" s="54"/>
      <c r="E886" s="51"/>
      <c r="F886" s="137"/>
      <c r="G886" s="54"/>
      <c r="H886" s="57"/>
      <c r="I886" s="51"/>
      <c r="J886" s="51"/>
      <c r="K886" s="134"/>
      <c r="L886" s="59"/>
      <c r="M886" s="134"/>
      <c r="N886" s="134"/>
      <c r="O886" s="58"/>
      <c r="P886" s="136"/>
      <c r="Q886" s="37"/>
      <c r="R886" s="74"/>
      <c r="S886" s="74"/>
      <c r="T886" s="74"/>
      <c r="U886" s="71"/>
      <c r="V886" s="73"/>
      <c r="W886" s="75"/>
      <c r="X886" s="138"/>
      <c r="AH886" s="5"/>
      <c r="AI886" s="5"/>
      <c r="AJ886" s="5"/>
      <c r="AK886" s="5"/>
      <c r="AL886" s="5"/>
      <c r="AM886" s="5"/>
      <c r="AN886" s="5"/>
    </row>
    <row r="887" spans="1:40">
      <c r="A887" s="54"/>
      <c r="B887" s="54"/>
      <c r="C887" s="5"/>
      <c r="D887" s="54"/>
      <c r="E887" s="51"/>
      <c r="F887" s="137"/>
      <c r="G887" s="54"/>
      <c r="H887" s="57"/>
      <c r="I887" s="51"/>
      <c r="J887" s="51"/>
      <c r="K887" s="134"/>
      <c r="L887" s="59"/>
      <c r="M887" s="134"/>
      <c r="N887" s="134"/>
      <c r="O887" s="58"/>
      <c r="P887" s="136"/>
      <c r="Q887" s="37"/>
      <c r="R887" s="74"/>
      <c r="S887" s="74"/>
      <c r="T887" s="74"/>
      <c r="U887" s="71"/>
      <c r="V887" s="73"/>
      <c r="W887" s="75"/>
      <c r="X887" s="138"/>
      <c r="AH887" s="5"/>
      <c r="AI887" s="5"/>
      <c r="AJ887" s="5"/>
      <c r="AK887" s="5"/>
      <c r="AL887" s="5"/>
      <c r="AM887" s="5"/>
      <c r="AN887" s="5"/>
    </row>
    <row r="888" spans="1:40">
      <c r="A888" s="107"/>
      <c r="B888" s="54"/>
      <c r="C888" s="5"/>
      <c r="D888" s="54"/>
      <c r="E888" s="51"/>
      <c r="F888" s="137"/>
      <c r="G888" s="54"/>
      <c r="H888" s="76"/>
      <c r="I888" s="51"/>
      <c r="J888" s="51"/>
      <c r="K888" s="134"/>
      <c r="L888" s="59"/>
      <c r="M888" s="134"/>
      <c r="N888" s="134"/>
      <c r="O888" s="123"/>
      <c r="P888" s="136"/>
      <c r="Q888" s="37"/>
      <c r="R888" s="74"/>
      <c r="S888" s="74"/>
      <c r="T888" s="74"/>
      <c r="U888" s="71"/>
      <c r="V888" s="73"/>
      <c r="W888" s="75"/>
      <c r="X888" s="138"/>
      <c r="AH888" s="5"/>
      <c r="AI888" s="5"/>
      <c r="AJ888" s="5"/>
      <c r="AK888" s="5"/>
      <c r="AL888" s="5"/>
      <c r="AM888" s="5"/>
      <c r="AN888" s="5"/>
    </row>
    <row r="889" spans="1:40">
      <c r="A889" s="51"/>
      <c r="B889" s="51"/>
      <c r="C889" s="5"/>
      <c r="D889" s="111"/>
      <c r="E889" s="51"/>
      <c r="F889" s="56"/>
      <c r="G889" s="51"/>
      <c r="H889" s="37"/>
      <c r="I889" s="51"/>
      <c r="J889" s="51"/>
      <c r="K889" s="134"/>
      <c r="L889" s="59"/>
      <c r="M889" s="134"/>
      <c r="N889" s="134"/>
      <c r="O889" s="111"/>
      <c r="P889" s="111"/>
      <c r="Q889" s="139"/>
      <c r="R889" s="113"/>
      <c r="S889" s="113"/>
      <c r="T889" s="113"/>
      <c r="U889" s="114"/>
      <c r="V889" s="115"/>
      <c r="W889" s="116"/>
      <c r="X889" s="117"/>
      <c r="Y889" s="111"/>
      <c r="Z889" s="111"/>
      <c r="AH889" s="5"/>
      <c r="AI889" s="5"/>
      <c r="AJ889" s="5"/>
      <c r="AK889" s="5"/>
      <c r="AL889" s="5"/>
      <c r="AM889" s="5"/>
      <c r="AN889" s="5"/>
    </row>
    <row r="890" spans="1:40">
      <c r="A890" s="51"/>
      <c r="B890" s="51"/>
      <c r="C890" s="5"/>
      <c r="D890" s="111"/>
      <c r="E890" s="51"/>
      <c r="F890" s="56"/>
      <c r="G890" s="51"/>
      <c r="H890" s="37"/>
      <c r="I890" s="51"/>
      <c r="J890" s="51"/>
      <c r="K890" s="134"/>
      <c r="L890" s="59"/>
      <c r="M890" s="134"/>
      <c r="N890" s="134"/>
      <c r="O890" s="111"/>
      <c r="P890" s="111"/>
      <c r="Q890" s="139"/>
      <c r="R890" s="113"/>
      <c r="S890" s="113"/>
      <c r="T890" s="113"/>
      <c r="U890" s="114"/>
      <c r="V890" s="115"/>
      <c r="W890" s="116"/>
      <c r="X890" s="117"/>
      <c r="Y890" s="111"/>
      <c r="Z890" s="111"/>
      <c r="AH890" s="5"/>
      <c r="AI890" s="5"/>
      <c r="AJ890" s="5"/>
      <c r="AK890" s="5"/>
      <c r="AL890" s="5"/>
      <c r="AM890" s="5"/>
      <c r="AN890" s="5"/>
    </row>
    <row r="891" spans="1:40">
      <c r="A891" s="51"/>
      <c r="B891" s="51"/>
      <c r="C891" s="5"/>
      <c r="D891" s="111"/>
      <c r="E891" s="51"/>
      <c r="F891" s="56"/>
      <c r="G891" s="51"/>
      <c r="H891" s="37"/>
      <c r="I891" s="51"/>
      <c r="J891" s="51"/>
      <c r="K891" s="134"/>
      <c r="L891" s="59"/>
      <c r="M891" s="134"/>
      <c r="N891" s="134"/>
      <c r="O891" s="111"/>
      <c r="P891" s="111"/>
      <c r="Q891" s="139"/>
      <c r="R891" s="113"/>
      <c r="S891" s="113"/>
      <c r="T891" s="113"/>
      <c r="U891" s="114"/>
      <c r="V891" s="115"/>
      <c r="W891" s="116"/>
      <c r="X891" s="117"/>
      <c r="Y891" s="111"/>
      <c r="Z891" s="111"/>
      <c r="AH891" s="5"/>
      <c r="AI891" s="5"/>
      <c r="AJ891" s="5"/>
      <c r="AK891" s="5"/>
      <c r="AL891" s="5"/>
      <c r="AM891" s="5"/>
      <c r="AN891" s="5"/>
    </row>
    <row r="892" spans="1:40">
      <c r="A892" s="51"/>
      <c r="B892" s="51"/>
      <c r="C892" s="5"/>
      <c r="D892" s="111"/>
      <c r="E892" s="51"/>
      <c r="F892" s="56"/>
      <c r="G892" s="51"/>
      <c r="H892" s="37"/>
      <c r="I892" s="51"/>
      <c r="J892" s="51"/>
      <c r="K892" s="134"/>
      <c r="L892" s="59"/>
      <c r="M892" s="134"/>
      <c r="N892" s="134"/>
      <c r="O892" s="111"/>
      <c r="P892" s="111"/>
      <c r="Q892" s="139"/>
      <c r="R892" s="113"/>
      <c r="S892" s="113"/>
      <c r="T892" s="113"/>
      <c r="U892" s="114"/>
      <c r="V892" s="115"/>
      <c r="W892" s="116"/>
      <c r="X892" s="117"/>
      <c r="Y892" s="111"/>
      <c r="Z892" s="111"/>
      <c r="AH892" s="5"/>
      <c r="AI892" s="5"/>
      <c r="AJ892" s="5"/>
      <c r="AK892" s="5"/>
      <c r="AL892" s="5"/>
      <c r="AM892" s="5"/>
      <c r="AN892" s="5"/>
    </row>
    <row r="893" spans="1:40">
      <c r="A893" s="51"/>
      <c r="B893" s="51"/>
      <c r="C893" s="5"/>
      <c r="D893" s="111"/>
      <c r="E893" s="51"/>
      <c r="F893" s="56"/>
      <c r="G893" s="51"/>
      <c r="H893" s="37"/>
      <c r="I893" s="51"/>
      <c r="J893" s="51"/>
      <c r="K893" s="134"/>
      <c r="L893" s="59"/>
      <c r="M893" s="134"/>
      <c r="N893" s="134"/>
      <c r="O893" s="111"/>
      <c r="P893" s="111"/>
      <c r="Q893" s="139"/>
      <c r="R893" s="113"/>
      <c r="S893" s="113"/>
      <c r="T893" s="113"/>
      <c r="U893" s="114"/>
      <c r="V893" s="115"/>
      <c r="W893" s="116"/>
      <c r="X893" s="117"/>
      <c r="Y893" s="111"/>
      <c r="Z893" s="111"/>
      <c r="AH893" s="5"/>
      <c r="AI893" s="5"/>
      <c r="AJ893" s="5"/>
      <c r="AK893" s="5"/>
      <c r="AL893" s="5"/>
      <c r="AM893" s="5"/>
      <c r="AN893" s="5"/>
    </row>
    <row r="894" spans="1:40">
      <c r="A894" s="51"/>
      <c r="B894" s="51"/>
      <c r="C894" s="5"/>
      <c r="D894" s="111"/>
      <c r="E894" s="51"/>
      <c r="F894" s="56"/>
      <c r="G894" s="51"/>
      <c r="H894" s="37"/>
      <c r="I894" s="51"/>
      <c r="J894" s="51"/>
      <c r="K894" s="134"/>
      <c r="L894" s="59"/>
      <c r="M894" s="134"/>
      <c r="N894" s="134"/>
      <c r="O894" s="111"/>
      <c r="P894" s="111"/>
      <c r="Q894" s="139"/>
      <c r="R894" s="113"/>
      <c r="S894" s="113"/>
      <c r="T894" s="113"/>
      <c r="U894" s="114"/>
      <c r="V894" s="115"/>
      <c r="W894" s="116"/>
      <c r="X894" s="117"/>
      <c r="Y894" s="111"/>
      <c r="Z894" s="111"/>
      <c r="AH894" s="5"/>
      <c r="AI894" s="5"/>
      <c r="AJ894" s="5"/>
      <c r="AK894" s="5"/>
      <c r="AL894" s="5"/>
      <c r="AM894" s="5"/>
      <c r="AN894" s="5"/>
    </row>
    <row r="895" spans="1:40">
      <c r="A895" s="51"/>
      <c r="B895" s="51"/>
      <c r="C895" s="5"/>
      <c r="D895" s="111"/>
      <c r="E895" s="51"/>
      <c r="F895" s="51"/>
      <c r="G895" s="51"/>
      <c r="H895" s="37"/>
      <c r="I895" s="51"/>
      <c r="J895" s="51"/>
      <c r="K895" s="134"/>
      <c r="L895" s="59"/>
      <c r="M895" s="134"/>
      <c r="N895" s="134"/>
      <c r="O895" s="111"/>
      <c r="P895" s="111"/>
      <c r="Q895" s="139"/>
      <c r="R895" s="113"/>
      <c r="S895" s="113"/>
      <c r="T895" s="113"/>
      <c r="U895" s="114"/>
      <c r="V895" s="115"/>
      <c r="W895" s="116"/>
      <c r="X895" s="117"/>
      <c r="Y895" s="111"/>
      <c r="Z895" s="111"/>
      <c r="AH895" s="5"/>
      <c r="AI895" s="5"/>
      <c r="AJ895" s="5"/>
      <c r="AK895" s="5"/>
      <c r="AL895" s="5"/>
      <c r="AM895" s="5"/>
      <c r="AN895" s="5"/>
    </row>
    <row r="896" spans="1:40">
      <c r="A896" s="111"/>
      <c r="B896" s="111"/>
      <c r="C896" s="5"/>
      <c r="D896" s="111"/>
      <c r="E896" s="111"/>
      <c r="F896" s="111"/>
      <c r="G896" s="111"/>
      <c r="H896" s="111"/>
      <c r="I896" s="111"/>
      <c r="J896" s="111"/>
      <c r="K896" s="134"/>
      <c r="L896" s="111"/>
      <c r="M896" s="134"/>
      <c r="N896" s="134"/>
      <c r="O896" s="111"/>
      <c r="P896" s="111"/>
      <c r="Q896" s="139"/>
      <c r="R896" s="113"/>
      <c r="S896" s="113"/>
      <c r="T896" s="113"/>
      <c r="U896" s="114"/>
      <c r="V896" s="115"/>
      <c r="W896" s="116"/>
      <c r="X896" s="117"/>
      <c r="Y896" s="111"/>
      <c r="Z896" s="111"/>
      <c r="AH896" s="5"/>
      <c r="AI896" s="5"/>
      <c r="AJ896" s="5"/>
      <c r="AK896" s="5"/>
      <c r="AL896" s="5"/>
      <c r="AM896" s="5"/>
      <c r="AN896" s="5"/>
    </row>
    <row r="897" spans="1:40">
      <c r="A897" s="111"/>
      <c r="B897" s="111"/>
      <c r="C897" s="5"/>
      <c r="D897" s="111"/>
      <c r="E897" s="111"/>
      <c r="F897" s="111"/>
      <c r="G897" s="111"/>
      <c r="H897" s="111"/>
      <c r="I897" s="111"/>
      <c r="J897" s="111"/>
      <c r="K897" s="134"/>
      <c r="L897" s="111"/>
      <c r="M897" s="134"/>
      <c r="N897" s="134"/>
      <c r="O897" s="111"/>
      <c r="P897" s="111"/>
      <c r="Q897" s="139"/>
      <c r="R897" s="113"/>
      <c r="S897" s="113"/>
      <c r="T897" s="113"/>
      <c r="U897" s="114"/>
      <c r="V897" s="115"/>
      <c r="W897" s="116"/>
      <c r="X897" s="117"/>
      <c r="Y897" s="111"/>
      <c r="Z897" s="111"/>
      <c r="AH897" s="5"/>
      <c r="AI897" s="5"/>
      <c r="AJ897" s="5"/>
      <c r="AK897" s="5"/>
      <c r="AL897" s="5"/>
      <c r="AM897" s="5"/>
      <c r="AN897" s="5"/>
    </row>
    <row r="898" spans="1:40">
      <c r="A898" s="111"/>
      <c r="B898" s="111"/>
      <c r="C898" s="5"/>
      <c r="D898" s="111"/>
      <c r="E898" s="111"/>
      <c r="F898" s="111"/>
      <c r="G898" s="111"/>
      <c r="H898" s="111"/>
      <c r="I898" s="111"/>
      <c r="J898" s="111"/>
      <c r="K898" s="134"/>
      <c r="L898" s="111"/>
      <c r="M898" s="134"/>
      <c r="N898" s="134"/>
      <c r="O898" s="111"/>
      <c r="P898" s="111"/>
      <c r="Q898" s="139"/>
      <c r="R898" s="113"/>
      <c r="S898" s="113"/>
      <c r="T898" s="113"/>
      <c r="U898" s="114"/>
      <c r="V898" s="115"/>
      <c r="W898" s="116"/>
      <c r="X898" s="117"/>
      <c r="Y898" s="111"/>
      <c r="Z898" s="111"/>
      <c r="AH898" s="5"/>
      <c r="AI898" s="5"/>
      <c r="AJ898" s="5"/>
      <c r="AK898" s="5"/>
      <c r="AL898" s="5"/>
      <c r="AM898" s="5"/>
      <c r="AN898" s="5"/>
    </row>
    <row r="899" spans="1:40">
      <c r="A899" s="111"/>
      <c r="B899" s="111"/>
      <c r="C899" s="5"/>
      <c r="D899" s="111"/>
      <c r="E899" s="111"/>
      <c r="F899" s="111"/>
      <c r="G899" s="111"/>
      <c r="H899" s="111"/>
      <c r="I899" s="111"/>
      <c r="J899" s="111"/>
      <c r="K899" s="134"/>
      <c r="L899" s="111"/>
      <c r="M899" s="134"/>
      <c r="N899" s="134"/>
      <c r="O899" s="111"/>
      <c r="P899" s="111"/>
      <c r="Q899" s="139"/>
      <c r="R899" s="113"/>
      <c r="S899" s="113"/>
      <c r="T899" s="113"/>
      <c r="U899" s="114"/>
      <c r="V899" s="115"/>
      <c r="W899" s="116"/>
      <c r="X899" s="117"/>
      <c r="Y899" s="111"/>
      <c r="Z899" s="111"/>
      <c r="AH899" s="5"/>
      <c r="AI899" s="5"/>
      <c r="AJ899" s="5"/>
      <c r="AK899" s="5"/>
      <c r="AL899" s="5"/>
      <c r="AM899" s="5"/>
      <c r="AN899" s="5"/>
    </row>
    <row r="900" spans="1:40">
      <c r="A900" s="111"/>
      <c r="B900" s="111"/>
      <c r="C900" s="5"/>
      <c r="D900" s="111"/>
      <c r="E900" s="111"/>
      <c r="F900" s="111"/>
      <c r="G900" s="111"/>
      <c r="H900" s="111"/>
      <c r="I900" s="111"/>
      <c r="J900" s="111"/>
      <c r="K900" s="134"/>
      <c r="L900" s="111"/>
      <c r="M900" s="134"/>
      <c r="N900" s="134"/>
      <c r="O900" s="111"/>
      <c r="P900" s="111"/>
      <c r="Q900" s="139"/>
      <c r="R900" s="113"/>
      <c r="S900" s="113"/>
      <c r="T900" s="113"/>
      <c r="U900" s="114"/>
      <c r="V900" s="115"/>
      <c r="W900" s="116"/>
      <c r="X900" s="117"/>
      <c r="Y900" s="111"/>
      <c r="Z900" s="111"/>
      <c r="AH900" s="5"/>
      <c r="AI900" s="5"/>
      <c r="AJ900" s="5"/>
      <c r="AK900" s="5"/>
      <c r="AL900" s="5"/>
      <c r="AM900" s="5"/>
      <c r="AN900" s="5"/>
    </row>
    <row r="901" spans="1:40">
      <c r="A901" s="111"/>
      <c r="B901" s="111"/>
      <c r="C901" s="5"/>
      <c r="D901" s="111"/>
      <c r="E901" s="111"/>
      <c r="F901" s="111"/>
      <c r="G901" s="111"/>
      <c r="H901" s="111"/>
      <c r="I901" s="111"/>
      <c r="J901" s="111"/>
      <c r="K901" s="134"/>
      <c r="L901" s="111"/>
      <c r="M901" s="134"/>
      <c r="N901" s="134"/>
      <c r="O901" s="111"/>
      <c r="P901" s="111"/>
      <c r="Q901" s="139"/>
      <c r="R901" s="113"/>
      <c r="S901" s="113"/>
      <c r="T901" s="113"/>
      <c r="U901" s="114"/>
      <c r="V901" s="115"/>
      <c r="W901" s="116"/>
      <c r="X901" s="117"/>
      <c r="Y901" s="111"/>
      <c r="Z901" s="111"/>
      <c r="AH901" s="5"/>
      <c r="AI901" s="5"/>
      <c r="AJ901" s="5"/>
      <c r="AK901" s="5"/>
      <c r="AL901" s="5"/>
      <c r="AM901" s="5"/>
      <c r="AN901" s="5"/>
    </row>
    <row r="902" spans="1:40">
      <c r="A902" s="111"/>
      <c r="B902" s="111"/>
      <c r="C902" s="5"/>
      <c r="D902" s="111"/>
      <c r="E902" s="111"/>
      <c r="F902" s="111"/>
      <c r="G902" s="111"/>
      <c r="H902" s="111"/>
      <c r="I902" s="111"/>
      <c r="J902" s="111"/>
      <c r="K902" s="134"/>
      <c r="L902" s="111"/>
      <c r="M902" s="134"/>
      <c r="N902" s="134"/>
      <c r="O902" s="111"/>
      <c r="P902" s="111"/>
      <c r="Q902" s="139"/>
      <c r="R902" s="113"/>
      <c r="S902" s="113"/>
      <c r="T902" s="113"/>
      <c r="U902" s="114"/>
      <c r="V902" s="115"/>
      <c r="W902" s="116"/>
      <c r="X902" s="117"/>
      <c r="Y902" s="111"/>
      <c r="Z902" s="111"/>
      <c r="AH902" s="5"/>
      <c r="AI902" s="5"/>
      <c r="AJ902" s="5"/>
      <c r="AK902" s="5"/>
      <c r="AL902" s="5"/>
      <c r="AM902" s="5"/>
      <c r="AN902" s="5"/>
    </row>
    <row r="903" spans="1:40">
      <c r="A903" s="111"/>
      <c r="B903" s="111"/>
      <c r="C903" s="5"/>
      <c r="D903" s="111"/>
      <c r="E903" s="111"/>
      <c r="F903" s="111"/>
      <c r="G903" s="111"/>
      <c r="H903" s="111"/>
      <c r="I903" s="111"/>
      <c r="J903" s="111"/>
      <c r="K903" s="134"/>
      <c r="L903" s="111"/>
      <c r="M903" s="134"/>
      <c r="N903" s="134"/>
      <c r="O903" s="111"/>
      <c r="P903" s="111"/>
      <c r="Q903" s="139"/>
      <c r="R903" s="113"/>
      <c r="S903" s="113"/>
      <c r="T903" s="113"/>
      <c r="U903" s="114"/>
      <c r="V903" s="115"/>
      <c r="W903" s="116"/>
      <c r="X903" s="117"/>
      <c r="Y903" s="111"/>
      <c r="Z903" s="111"/>
      <c r="AH903" s="5"/>
      <c r="AI903" s="5"/>
      <c r="AJ903" s="5"/>
      <c r="AK903" s="5"/>
      <c r="AL903" s="5"/>
      <c r="AM903" s="5"/>
      <c r="AN903" s="5"/>
    </row>
    <row r="904" spans="1:40">
      <c r="A904" s="111"/>
      <c r="B904" s="111"/>
      <c r="C904" s="5"/>
      <c r="D904" s="111"/>
      <c r="E904" s="111"/>
      <c r="F904" s="111"/>
      <c r="G904" s="111"/>
      <c r="H904" s="111"/>
      <c r="I904" s="111"/>
      <c r="J904" s="111"/>
      <c r="K904" s="134"/>
      <c r="L904" s="111"/>
      <c r="M904" s="134"/>
      <c r="N904" s="134"/>
      <c r="O904" s="111"/>
      <c r="P904" s="111"/>
      <c r="Q904" s="139"/>
      <c r="R904" s="113"/>
      <c r="S904" s="113"/>
      <c r="T904" s="113"/>
      <c r="U904" s="114"/>
      <c r="V904" s="115"/>
      <c r="W904" s="116"/>
      <c r="X904" s="117"/>
      <c r="Y904" s="111"/>
      <c r="Z904" s="111"/>
      <c r="AH904" s="5"/>
      <c r="AI904" s="5"/>
      <c r="AJ904" s="5"/>
      <c r="AK904" s="5"/>
      <c r="AL904" s="5"/>
      <c r="AM904" s="5"/>
      <c r="AN904" s="5"/>
    </row>
    <row r="905" spans="1:40">
      <c r="A905" s="111"/>
      <c r="B905" s="111"/>
      <c r="C905" s="5"/>
      <c r="D905" s="111"/>
      <c r="E905" s="111"/>
      <c r="F905" s="111"/>
      <c r="G905" s="111"/>
      <c r="H905" s="111"/>
      <c r="I905" s="111"/>
      <c r="J905" s="111"/>
      <c r="K905" s="134"/>
      <c r="L905" s="111"/>
      <c r="M905" s="134"/>
      <c r="N905" s="134"/>
      <c r="O905" s="111"/>
      <c r="P905" s="111"/>
      <c r="Q905" s="139"/>
      <c r="R905" s="113"/>
      <c r="S905" s="113"/>
      <c r="T905" s="113"/>
      <c r="U905" s="114"/>
      <c r="V905" s="115"/>
      <c r="W905" s="116"/>
      <c r="X905" s="117"/>
      <c r="Y905" s="111"/>
      <c r="Z905" s="111"/>
      <c r="AH905" s="5"/>
      <c r="AI905" s="5"/>
      <c r="AJ905" s="5"/>
      <c r="AK905" s="5"/>
      <c r="AL905" s="5"/>
      <c r="AM905" s="5"/>
      <c r="AN905" s="5"/>
    </row>
    <row r="906" spans="1:40">
      <c r="A906" s="111"/>
      <c r="B906" s="111"/>
      <c r="C906" s="5"/>
      <c r="D906" s="111"/>
      <c r="E906" s="111"/>
      <c r="F906" s="111"/>
      <c r="G906" s="111"/>
      <c r="H906" s="111"/>
      <c r="I906" s="111"/>
      <c r="J906" s="111"/>
      <c r="K906" s="134"/>
      <c r="L906" s="111"/>
      <c r="M906" s="134"/>
      <c r="N906" s="134"/>
      <c r="O906" s="111"/>
      <c r="P906" s="111"/>
      <c r="Q906" s="139"/>
      <c r="R906" s="113"/>
      <c r="S906" s="113"/>
      <c r="T906" s="113"/>
      <c r="U906" s="114"/>
      <c r="V906" s="115"/>
      <c r="W906" s="116"/>
      <c r="X906" s="117"/>
      <c r="Y906" s="111"/>
      <c r="Z906" s="111"/>
      <c r="AH906" s="5"/>
      <c r="AI906" s="5"/>
      <c r="AJ906" s="5"/>
      <c r="AK906" s="5"/>
      <c r="AL906" s="5"/>
      <c r="AM906" s="5"/>
      <c r="AN906" s="5"/>
    </row>
    <row r="907" spans="1:40">
      <c r="A907" s="111"/>
      <c r="B907" s="111"/>
      <c r="C907" s="5"/>
      <c r="D907" s="111"/>
      <c r="E907" s="111"/>
      <c r="F907" s="111"/>
      <c r="G907" s="111"/>
      <c r="H907" s="111"/>
      <c r="I907" s="111"/>
      <c r="J907" s="111"/>
      <c r="K907" s="134"/>
      <c r="L907" s="111"/>
      <c r="M907" s="134"/>
      <c r="N907" s="134"/>
      <c r="O907" s="111"/>
      <c r="P907" s="111"/>
      <c r="Q907" s="139"/>
      <c r="R907" s="113"/>
      <c r="S907" s="113"/>
      <c r="T907" s="113"/>
      <c r="U907" s="114"/>
      <c r="V907" s="115"/>
      <c r="W907" s="116"/>
      <c r="X907" s="117"/>
      <c r="Y907" s="111"/>
      <c r="Z907" s="111"/>
      <c r="AH907" s="5"/>
      <c r="AI907" s="5"/>
      <c r="AJ907" s="5"/>
      <c r="AK907" s="5"/>
      <c r="AL907" s="5"/>
      <c r="AM907" s="5"/>
      <c r="AN907" s="5"/>
    </row>
    <row r="908" spans="1:40">
      <c r="A908" s="111"/>
      <c r="B908" s="111"/>
      <c r="C908" s="5"/>
      <c r="D908" s="111"/>
      <c r="E908" s="111"/>
      <c r="F908" s="111"/>
      <c r="G908" s="111"/>
      <c r="H908" s="111"/>
      <c r="I908" s="111"/>
      <c r="J908" s="111"/>
      <c r="K908" s="134"/>
      <c r="L908" s="111"/>
      <c r="M908" s="134"/>
      <c r="N908" s="134"/>
      <c r="O908" s="111"/>
      <c r="P908" s="111"/>
      <c r="Q908" s="139"/>
      <c r="R908" s="113"/>
      <c r="S908" s="113"/>
      <c r="T908" s="113"/>
      <c r="U908" s="114"/>
      <c r="V908" s="115"/>
      <c r="W908" s="116"/>
      <c r="X908" s="117"/>
      <c r="Y908" s="111"/>
      <c r="Z908" s="111"/>
      <c r="AH908" s="5"/>
      <c r="AI908" s="5"/>
      <c r="AJ908" s="5"/>
      <c r="AK908" s="5"/>
      <c r="AL908" s="5"/>
      <c r="AM908" s="5"/>
      <c r="AN908" s="5"/>
    </row>
    <row r="909" spans="1:40">
      <c r="A909" s="111"/>
      <c r="B909" s="111"/>
      <c r="C909" s="5"/>
      <c r="D909" s="111"/>
      <c r="E909" s="111"/>
      <c r="F909" s="111"/>
      <c r="G909" s="111"/>
      <c r="H909" s="111"/>
      <c r="I909" s="111"/>
      <c r="J909" s="111"/>
      <c r="K909" s="134"/>
      <c r="L909" s="111"/>
      <c r="M909" s="134"/>
      <c r="N909" s="134"/>
      <c r="O909" s="111"/>
      <c r="P909" s="111"/>
      <c r="Q909" s="139"/>
      <c r="R909" s="113"/>
      <c r="S909" s="113"/>
      <c r="T909" s="113"/>
      <c r="U909" s="114"/>
      <c r="V909" s="115"/>
      <c r="W909" s="116"/>
      <c r="X909" s="117"/>
      <c r="Y909" s="111"/>
      <c r="Z909" s="111"/>
      <c r="AH909" s="5"/>
      <c r="AI909" s="5"/>
      <c r="AJ909" s="5"/>
      <c r="AK909" s="5"/>
      <c r="AL909" s="5"/>
      <c r="AM909" s="5"/>
      <c r="AN909" s="5"/>
    </row>
    <row r="910" spans="1:40">
      <c r="A910" s="111"/>
      <c r="B910" s="111"/>
      <c r="C910" s="5"/>
      <c r="D910" s="111"/>
      <c r="E910" s="111"/>
      <c r="F910" s="111"/>
      <c r="G910" s="111"/>
      <c r="H910" s="111"/>
      <c r="I910" s="111"/>
      <c r="J910" s="111"/>
      <c r="K910" s="134"/>
      <c r="L910" s="111"/>
      <c r="M910" s="134"/>
      <c r="N910" s="134"/>
      <c r="O910" s="111"/>
      <c r="P910" s="111"/>
      <c r="Q910" s="139"/>
      <c r="R910" s="113"/>
      <c r="S910" s="113"/>
      <c r="T910" s="113"/>
      <c r="U910" s="114"/>
      <c r="V910" s="115"/>
      <c r="W910" s="116"/>
      <c r="X910" s="117"/>
      <c r="Y910" s="111"/>
      <c r="Z910" s="111"/>
      <c r="AH910" s="5"/>
      <c r="AI910" s="5"/>
      <c r="AJ910" s="5"/>
      <c r="AK910" s="5"/>
      <c r="AL910" s="5"/>
      <c r="AM910" s="5"/>
      <c r="AN910" s="5"/>
    </row>
    <row r="911" spans="1:40">
      <c r="A911" s="111"/>
      <c r="B911" s="111"/>
      <c r="C911" s="5"/>
      <c r="D911" s="111"/>
      <c r="E911" s="111"/>
      <c r="F911" s="111"/>
      <c r="G911" s="111"/>
      <c r="H911" s="111"/>
      <c r="I911" s="111"/>
      <c r="J911" s="111"/>
      <c r="K911" s="134"/>
      <c r="L911" s="111"/>
      <c r="M911" s="134"/>
      <c r="N911" s="134"/>
      <c r="O911" s="111"/>
      <c r="P911" s="111"/>
      <c r="Q911" s="139"/>
      <c r="R911" s="113"/>
      <c r="S911" s="113"/>
      <c r="T911" s="113"/>
      <c r="U911" s="114"/>
      <c r="V911" s="115"/>
      <c r="W911" s="116"/>
      <c r="X911" s="117"/>
      <c r="Y911" s="111"/>
      <c r="Z911" s="111"/>
      <c r="AH911" s="5"/>
      <c r="AI911" s="5"/>
      <c r="AJ911" s="5"/>
      <c r="AK911" s="5"/>
      <c r="AL911" s="5"/>
      <c r="AM911" s="5"/>
      <c r="AN911" s="5"/>
    </row>
    <row r="912" spans="1:40">
      <c r="A912" s="111"/>
      <c r="B912" s="111"/>
      <c r="C912" s="5"/>
      <c r="D912" s="111"/>
      <c r="E912" s="111"/>
      <c r="F912" s="111"/>
      <c r="G912" s="111"/>
      <c r="H912" s="111"/>
      <c r="I912" s="111"/>
      <c r="J912" s="111"/>
      <c r="K912" s="134"/>
      <c r="L912" s="111"/>
      <c r="M912" s="134"/>
      <c r="N912" s="134"/>
      <c r="O912" s="111"/>
      <c r="P912" s="111"/>
      <c r="Q912" s="139"/>
      <c r="R912" s="113"/>
      <c r="S912" s="113"/>
      <c r="T912" s="113"/>
      <c r="U912" s="114"/>
      <c r="V912" s="115"/>
      <c r="W912" s="116"/>
      <c r="X912" s="117"/>
      <c r="Y912" s="111"/>
      <c r="Z912" s="111"/>
      <c r="AH912" s="5"/>
      <c r="AI912" s="5"/>
      <c r="AJ912" s="5"/>
      <c r="AK912" s="5"/>
      <c r="AL912" s="5"/>
      <c r="AM912" s="5"/>
      <c r="AN912" s="5"/>
    </row>
    <row r="913" spans="1:40">
      <c r="A913" s="111"/>
      <c r="B913" s="111"/>
      <c r="C913" s="5"/>
      <c r="D913" s="111"/>
      <c r="E913" s="111"/>
      <c r="F913" s="111"/>
      <c r="G913" s="111"/>
      <c r="H913" s="111"/>
      <c r="I913" s="111"/>
      <c r="J913" s="111"/>
      <c r="K913" s="134"/>
      <c r="L913" s="111"/>
      <c r="M913" s="134"/>
      <c r="N913" s="134"/>
      <c r="O913" s="111"/>
      <c r="P913" s="111"/>
      <c r="Q913" s="139"/>
      <c r="R913" s="113"/>
      <c r="S913" s="113"/>
      <c r="T913" s="113"/>
      <c r="U913" s="114"/>
      <c r="V913" s="115"/>
      <c r="W913" s="116"/>
      <c r="X913" s="117"/>
      <c r="Y913" s="111"/>
      <c r="Z913" s="111"/>
      <c r="AH913" s="5"/>
      <c r="AI913" s="5"/>
      <c r="AJ913" s="5"/>
      <c r="AK913" s="5"/>
      <c r="AL913" s="5"/>
      <c r="AM913" s="5"/>
      <c r="AN913" s="5"/>
    </row>
    <row r="914" spans="1:40">
      <c r="A914" s="111"/>
      <c r="B914" s="111"/>
      <c r="C914" s="5"/>
      <c r="D914" s="111"/>
      <c r="E914" s="111"/>
      <c r="F914" s="111"/>
      <c r="G914" s="111"/>
      <c r="H914" s="111"/>
      <c r="I914" s="111"/>
      <c r="J914" s="111"/>
      <c r="K914" s="134"/>
      <c r="L914" s="111"/>
      <c r="M914" s="134"/>
      <c r="N914" s="134"/>
      <c r="O914" s="111"/>
      <c r="P914" s="111"/>
      <c r="Q914" s="139"/>
      <c r="R914" s="113"/>
      <c r="S914" s="113"/>
      <c r="T914" s="113"/>
      <c r="U914" s="114"/>
      <c r="V914" s="115"/>
      <c r="W914" s="116"/>
      <c r="X914" s="117"/>
      <c r="Y914" s="111"/>
      <c r="Z914" s="111"/>
      <c r="AH914" s="5"/>
      <c r="AI914" s="5"/>
      <c r="AJ914" s="5"/>
      <c r="AK914" s="5"/>
      <c r="AL914" s="5"/>
      <c r="AM914" s="5"/>
      <c r="AN914" s="5"/>
    </row>
    <row r="915" spans="1:40">
      <c r="A915" s="111"/>
      <c r="B915" s="111"/>
      <c r="C915" s="5"/>
      <c r="D915" s="111"/>
      <c r="E915" s="111"/>
      <c r="F915" s="111"/>
      <c r="G915" s="111"/>
      <c r="H915" s="111"/>
      <c r="I915" s="111"/>
      <c r="J915" s="111"/>
      <c r="K915" s="134"/>
      <c r="L915" s="111"/>
      <c r="M915" s="134"/>
      <c r="N915" s="134"/>
      <c r="O915" s="111"/>
      <c r="P915" s="111"/>
      <c r="Q915" s="139"/>
      <c r="R915" s="113"/>
      <c r="S915" s="113"/>
      <c r="T915" s="113"/>
      <c r="U915" s="114"/>
      <c r="V915" s="115"/>
      <c r="W915" s="116"/>
      <c r="X915" s="117"/>
      <c r="Y915" s="111"/>
      <c r="Z915" s="111"/>
      <c r="AH915" s="5"/>
      <c r="AI915" s="5"/>
      <c r="AJ915" s="5"/>
      <c r="AK915" s="5"/>
      <c r="AL915" s="5"/>
      <c r="AM915" s="5"/>
      <c r="AN915" s="5"/>
    </row>
    <row r="916" spans="1:40">
      <c r="A916" s="111"/>
      <c r="B916" s="111"/>
      <c r="C916" s="5"/>
      <c r="D916" s="111"/>
      <c r="E916" s="111"/>
      <c r="F916" s="111"/>
      <c r="G916" s="111"/>
      <c r="H916" s="111"/>
      <c r="I916" s="111"/>
      <c r="J916" s="111"/>
      <c r="K916" s="134"/>
      <c r="L916" s="111"/>
      <c r="M916" s="134"/>
      <c r="N916" s="134"/>
      <c r="O916" s="111"/>
      <c r="P916" s="111"/>
      <c r="Q916" s="139"/>
      <c r="R916" s="113"/>
      <c r="S916" s="113"/>
      <c r="T916" s="113"/>
      <c r="U916" s="114"/>
      <c r="V916" s="115"/>
      <c r="W916" s="116"/>
      <c r="X916" s="117"/>
      <c r="Y916" s="111"/>
      <c r="Z916" s="111"/>
      <c r="AH916" s="5"/>
      <c r="AI916" s="5"/>
      <c r="AJ916" s="5"/>
      <c r="AK916" s="5"/>
      <c r="AL916" s="5"/>
      <c r="AM916" s="5"/>
      <c r="AN916" s="5"/>
    </row>
    <row r="917" spans="1:40">
      <c r="A917" s="111"/>
      <c r="B917" s="111"/>
      <c r="C917" s="5"/>
      <c r="D917" s="111"/>
      <c r="E917" s="111"/>
      <c r="F917" s="111"/>
      <c r="G917" s="111"/>
      <c r="H917" s="111"/>
      <c r="I917" s="111"/>
      <c r="J917" s="111"/>
      <c r="K917" s="134"/>
      <c r="L917" s="111"/>
      <c r="M917" s="134"/>
      <c r="N917" s="134"/>
      <c r="O917" s="111"/>
      <c r="P917" s="111"/>
      <c r="Q917" s="139"/>
      <c r="R917" s="113"/>
      <c r="S917" s="113"/>
      <c r="T917" s="113"/>
      <c r="U917" s="114"/>
      <c r="V917" s="115"/>
      <c r="W917" s="116"/>
      <c r="X917" s="117"/>
      <c r="Y917" s="111"/>
      <c r="Z917" s="111"/>
      <c r="AH917" s="5"/>
      <c r="AI917" s="5"/>
      <c r="AJ917" s="5"/>
      <c r="AK917" s="5"/>
      <c r="AL917" s="5"/>
      <c r="AM917" s="5"/>
      <c r="AN917" s="5"/>
    </row>
    <row r="918" spans="1:40">
      <c r="A918" s="111"/>
      <c r="B918" s="111"/>
      <c r="C918" s="5"/>
      <c r="D918" s="111"/>
      <c r="E918" s="111"/>
      <c r="F918" s="111"/>
      <c r="G918" s="111"/>
      <c r="H918" s="111"/>
      <c r="I918" s="111"/>
      <c r="J918" s="111"/>
      <c r="K918" s="134"/>
      <c r="L918" s="111"/>
      <c r="M918" s="134"/>
      <c r="N918" s="134"/>
      <c r="O918" s="111"/>
      <c r="P918" s="111"/>
      <c r="Q918" s="139"/>
      <c r="R918" s="113"/>
      <c r="S918" s="113"/>
      <c r="T918" s="113"/>
      <c r="U918" s="114"/>
      <c r="V918" s="115"/>
      <c r="W918" s="116"/>
      <c r="X918" s="117"/>
      <c r="Y918" s="111"/>
      <c r="Z918" s="111"/>
      <c r="AH918" s="5"/>
      <c r="AI918" s="5"/>
      <c r="AJ918" s="5"/>
      <c r="AK918" s="5"/>
      <c r="AL918" s="5"/>
      <c r="AM918" s="5"/>
      <c r="AN918" s="5"/>
    </row>
    <row r="919" spans="1:40">
      <c r="A919" s="111"/>
      <c r="B919" s="111"/>
      <c r="C919" s="5"/>
      <c r="D919" s="111"/>
      <c r="E919" s="111"/>
      <c r="F919" s="111"/>
      <c r="G919" s="111"/>
      <c r="H919" s="111"/>
      <c r="I919" s="111"/>
      <c r="J919" s="111"/>
      <c r="K919" s="134"/>
      <c r="L919" s="111"/>
      <c r="M919" s="134"/>
      <c r="N919" s="134"/>
      <c r="O919" s="111"/>
      <c r="P919" s="111"/>
      <c r="Q919" s="139"/>
      <c r="R919" s="113"/>
      <c r="S919" s="113"/>
      <c r="T919" s="113"/>
      <c r="U919" s="114"/>
      <c r="V919" s="115"/>
      <c r="W919" s="116"/>
      <c r="X919" s="117"/>
      <c r="Y919" s="111"/>
      <c r="Z919" s="111"/>
      <c r="AH919" s="5"/>
      <c r="AI919" s="5"/>
      <c r="AJ919" s="5"/>
      <c r="AK919" s="5"/>
      <c r="AL919" s="5"/>
      <c r="AM919" s="5"/>
      <c r="AN919" s="5"/>
    </row>
    <row r="920" spans="1:40">
      <c r="A920" s="111"/>
      <c r="B920" s="111"/>
      <c r="C920" s="5"/>
      <c r="D920" s="111"/>
      <c r="E920" s="111"/>
      <c r="F920" s="111"/>
      <c r="G920" s="111"/>
      <c r="H920" s="111"/>
      <c r="I920" s="111"/>
      <c r="J920" s="111"/>
      <c r="K920" s="134"/>
      <c r="L920" s="111"/>
      <c r="M920" s="134"/>
      <c r="N920" s="134"/>
      <c r="O920" s="111"/>
      <c r="P920" s="111"/>
      <c r="Q920" s="139"/>
      <c r="R920" s="113"/>
      <c r="S920" s="113"/>
      <c r="T920" s="113"/>
      <c r="U920" s="114"/>
      <c r="V920" s="115"/>
      <c r="W920" s="116"/>
      <c r="X920" s="117"/>
      <c r="Y920" s="111"/>
      <c r="Z920" s="111"/>
      <c r="AH920" s="5"/>
      <c r="AI920" s="5"/>
      <c r="AJ920" s="5"/>
      <c r="AK920" s="5"/>
      <c r="AL920" s="5"/>
      <c r="AM920" s="5"/>
      <c r="AN920" s="5"/>
    </row>
    <row r="921" spans="1:40">
      <c r="A921" s="111"/>
      <c r="B921" s="111"/>
      <c r="C921" s="5"/>
      <c r="D921" s="111"/>
      <c r="E921" s="111"/>
      <c r="F921" s="111"/>
      <c r="G921" s="111"/>
      <c r="H921" s="111"/>
      <c r="I921" s="111"/>
      <c r="J921" s="111"/>
      <c r="K921" s="134"/>
      <c r="L921" s="111"/>
      <c r="M921" s="134"/>
      <c r="N921" s="134"/>
      <c r="O921" s="111"/>
      <c r="P921" s="111"/>
      <c r="Q921" s="139"/>
      <c r="R921" s="113"/>
      <c r="S921" s="113"/>
      <c r="T921" s="113"/>
      <c r="U921" s="114"/>
      <c r="V921" s="115"/>
      <c r="W921" s="116"/>
      <c r="X921" s="117"/>
      <c r="Y921" s="111"/>
      <c r="Z921" s="111"/>
      <c r="AH921" s="5"/>
      <c r="AI921" s="5"/>
      <c r="AJ921" s="5"/>
      <c r="AK921" s="5"/>
      <c r="AL921" s="5"/>
      <c r="AM921" s="5"/>
      <c r="AN921" s="5"/>
    </row>
    <row r="922" spans="1:40">
      <c r="A922" s="111"/>
      <c r="B922" s="111"/>
      <c r="C922" s="5"/>
      <c r="D922" s="111"/>
      <c r="E922" s="111"/>
      <c r="F922" s="111"/>
      <c r="G922" s="111"/>
      <c r="H922" s="111"/>
      <c r="I922" s="111"/>
      <c r="J922" s="111"/>
      <c r="K922" s="134"/>
      <c r="L922" s="111"/>
      <c r="M922" s="134"/>
      <c r="N922" s="134"/>
      <c r="O922" s="111"/>
      <c r="P922" s="111"/>
      <c r="Q922" s="139"/>
      <c r="R922" s="113"/>
      <c r="S922" s="113"/>
      <c r="T922" s="113"/>
      <c r="U922" s="114"/>
      <c r="V922" s="115"/>
      <c r="W922" s="116"/>
      <c r="X922" s="117"/>
      <c r="Y922" s="111"/>
      <c r="Z922" s="111"/>
      <c r="AH922" s="5"/>
      <c r="AI922" s="5"/>
      <c r="AJ922" s="5"/>
      <c r="AK922" s="5"/>
      <c r="AL922" s="5"/>
      <c r="AM922" s="5"/>
      <c r="AN922" s="5"/>
    </row>
    <row r="923" spans="1:40">
      <c r="A923" s="111"/>
      <c r="B923" s="111"/>
      <c r="C923" s="5"/>
      <c r="D923" s="111"/>
      <c r="E923" s="111"/>
      <c r="F923" s="111"/>
      <c r="G923" s="111"/>
      <c r="H923" s="111"/>
      <c r="I923" s="111"/>
      <c r="J923" s="111"/>
      <c r="K923" s="134"/>
      <c r="L923" s="111"/>
      <c r="M923" s="134"/>
      <c r="N923" s="134"/>
      <c r="O923" s="111"/>
      <c r="P923" s="111"/>
      <c r="Q923" s="139"/>
      <c r="R923" s="113"/>
      <c r="S923" s="113"/>
      <c r="T923" s="113"/>
      <c r="U923" s="114"/>
      <c r="V923" s="115"/>
      <c r="W923" s="116"/>
      <c r="X923" s="117"/>
      <c r="Y923" s="111"/>
      <c r="Z923" s="111"/>
      <c r="AH923" s="5"/>
      <c r="AI923" s="5"/>
      <c r="AJ923" s="5"/>
      <c r="AK923" s="5"/>
      <c r="AL923" s="5"/>
      <c r="AM923" s="5"/>
      <c r="AN923" s="5"/>
    </row>
    <row r="924" spans="1:40">
      <c r="A924" s="111"/>
      <c r="B924" s="111"/>
      <c r="C924" s="5"/>
      <c r="D924" s="111"/>
      <c r="E924" s="111"/>
      <c r="F924" s="111"/>
      <c r="G924" s="111"/>
      <c r="H924" s="111"/>
      <c r="I924" s="111"/>
      <c r="J924" s="111"/>
      <c r="K924" s="134"/>
      <c r="L924" s="111"/>
      <c r="M924" s="134"/>
      <c r="N924" s="134"/>
      <c r="O924" s="111"/>
      <c r="P924" s="111"/>
      <c r="Q924" s="139"/>
      <c r="R924" s="113"/>
      <c r="S924" s="113"/>
      <c r="T924" s="113"/>
      <c r="U924" s="114"/>
      <c r="V924" s="115"/>
      <c r="W924" s="116"/>
      <c r="X924" s="117"/>
      <c r="Y924" s="111"/>
      <c r="Z924" s="111"/>
      <c r="AH924" s="5"/>
      <c r="AI924" s="5"/>
      <c r="AJ924" s="5"/>
      <c r="AK924" s="5"/>
      <c r="AL924" s="5"/>
      <c r="AM924" s="5"/>
      <c r="AN924" s="5"/>
    </row>
    <row r="925" spans="1:40">
      <c r="A925" s="111"/>
      <c r="B925" s="111"/>
      <c r="C925" s="5"/>
      <c r="D925" s="111"/>
      <c r="E925" s="111"/>
      <c r="F925" s="111"/>
      <c r="G925" s="111"/>
      <c r="H925" s="111"/>
      <c r="I925" s="111"/>
      <c r="J925" s="111"/>
      <c r="K925" s="134"/>
      <c r="L925" s="111"/>
      <c r="M925" s="134"/>
      <c r="N925" s="134"/>
      <c r="O925" s="111"/>
      <c r="P925" s="111"/>
      <c r="Q925" s="139"/>
      <c r="R925" s="113"/>
      <c r="S925" s="113"/>
      <c r="T925" s="113"/>
      <c r="U925" s="114"/>
      <c r="V925" s="115"/>
      <c r="W925" s="116"/>
      <c r="X925" s="117"/>
      <c r="Y925" s="111"/>
      <c r="Z925" s="111"/>
      <c r="AH925" s="5"/>
      <c r="AI925" s="5"/>
      <c r="AJ925" s="5"/>
      <c r="AK925" s="5"/>
      <c r="AL925" s="5"/>
      <c r="AM925" s="5"/>
      <c r="AN925" s="5"/>
    </row>
    <row r="926" spans="1:40">
      <c r="A926" s="111"/>
      <c r="B926" s="111"/>
      <c r="C926" s="5"/>
      <c r="D926" s="111"/>
      <c r="E926" s="111"/>
      <c r="F926" s="111"/>
      <c r="G926" s="111"/>
      <c r="H926" s="111"/>
      <c r="I926" s="111"/>
      <c r="J926" s="111"/>
      <c r="K926" s="134"/>
      <c r="L926" s="111"/>
      <c r="M926" s="134"/>
      <c r="N926" s="134"/>
      <c r="O926" s="111"/>
      <c r="P926" s="111"/>
      <c r="Q926" s="139"/>
      <c r="R926" s="113"/>
      <c r="S926" s="113"/>
      <c r="T926" s="113"/>
      <c r="U926" s="114"/>
      <c r="V926" s="115"/>
      <c r="W926" s="116"/>
      <c r="X926" s="117"/>
      <c r="Y926" s="111"/>
      <c r="Z926" s="111"/>
      <c r="AH926" s="5"/>
      <c r="AI926" s="5"/>
      <c r="AJ926" s="5"/>
      <c r="AK926" s="5"/>
      <c r="AL926" s="5"/>
      <c r="AM926" s="5"/>
      <c r="AN926" s="5"/>
    </row>
    <row r="927" spans="1:40">
      <c r="A927" s="111"/>
      <c r="B927" s="111"/>
      <c r="C927" s="5"/>
      <c r="D927" s="111"/>
      <c r="E927" s="111"/>
      <c r="F927" s="111"/>
      <c r="G927" s="111"/>
      <c r="H927" s="111"/>
      <c r="I927" s="111"/>
      <c r="J927" s="111"/>
      <c r="K927" s="134"/>
      <c r="L927" s="111"/>
      <c r="M927" s="134"/>
      <c r="N927" s="134"/>
      <c r="O927" s="111"/>
      <c r="P927" s="111"/>
      <c r="Q927" s="139"/>
      <c r="R927" s="113"/>
      <c r="S927" s="113"/>
      <c r="T927" s="113"/>
      <c r="U927" s="114"/>
      <c r="V927" s="115"/>
      <c r="W927" s="116"/>
      <c r="X927" s="117"/>
      <c r="Y927" s="111"/>
      <c r="Z927" s="111"/>
      <c r="AH927" s="5"/>
      <c r="AI927" s="5"/>
      <c r="AJ927" s="5"/>
      <c r="AK927" s="5"/>
      <c r="AL927" s="5"/>
      <c r="AM927" s="5"/>
      <c r="AN927" s="5"/>
    </row>
    <row r="928" spans="1:40">
      <c r="A928" s="111"/>
      <c r="B928" s="111"/>
      <c r="C928" s="5"/>
      <c r="D928" s="111"/>
      <c r="E928" s="111"/>
      <c r="F928" s="111"/>
      <c r="G928" s="111"/>
      <c r="H928" s="111"/>
      <c r="I928" s="111"/>
      <c r="J928" s="111"/>
      <c r="K928" s="134"/>
      <c r="L928" s="111"/>
      <c r="M928" s="134"/>
      <c r="N928" s="134"/>
      <c r="O928" s="111"/>
      <c r="P928" s="111"/>
      <c r="Q928" s="139"/>
      <c r="R928" s="113"/>
      <c r="S928" s="113"/>
      <c r="T928" s="113"/>
      <c r="U928" s="114"/>
      <c r="V928" s="115"/>
      <c r="W928" s="116"/>
      <c r="X928" s="117"/>
      <c r="Y928" s="111"/>
      <c r="Z928" s="111"/>
      <c r="AH928" s="5"/>
      <c r="AI928" s="5"/>
      <c r="AJ928" s="5"/>
      <c r="AK928" s="5"/>
      <c r="AL928" s="5"/>
      <c r="AM928" s="5"/>
      <c r="AN928" s="5"/>
    </row>
    <row r="929" spans="1:40">
      <c r="A929" s="111"/>
      <c r="B929" s="111"/>
      <c r="C929" s="5"/>
      <c r="D929" s="111"/>
      <c r="E929" s="111"/>
      <c r="F929" s="111"/>
      <c r="G929" s="111"/>
      <c r="H929" s="111"/>
      <c r="I929" s="111"/>
      <c r="J929" s="111"/>
      <c r="K929" s="134"/>
      <c r="L929" s="111"/>
      <c r="M929" s="134"/>
      <c r="N929" s="134"/>
      <c r="O929" s="111"/>
      <c r="P929" s="111"/>
      <c r="Q929" s="139"/>
      <c r="R929" s="113"/>
      <c r="S929" s="113"/>
      <c r="T929" s="113"/>
      <c r="U929" s="114"/>
      <c r="V929" s="115"/>
      <c r="W929" s="116"/>
      <c r="X929" s="117"/>
      <c r="Y929" s="111"/>
      <c r="Z929" s="111"/>
      <c r="AH929" s="5"/>
      <c r="AI929" s="5"/>
      <c r="AJ929" s="5"/>
      <c r="AK929" s="5"/>
      <c r="AL929" s="5"/>
      <c r="AM929" s="5"/>
      <c r="AN929" s="5"/>
    </row>
    <row r="930" spans="1:40">
      <c r="A930" s="111"/>
      <c r="B930" s="111"/>
      <c r="C930" s="5"/>
      <c r="D930" s="111"/>
      <c r="E930" s="111"/>
      <c r="F930" s="111"/>
      <c r="G930" s="111"/>
      <c r="H930" s="111"/>
      <c r="I930" s="111"/>
      <c r="J930" s="111"/>
      <c r="K930" s="134"/>
      <c r="L930" s="111"/>
      <c r="M930" s="134"/>
      <c r="N930" s="134"/>
      <c r="O930" s="111"/>
      <c r="P930" s="111"/>
      <c r="Q930" s="139"/>
      <c r="R930" s="113"/>
      <c r="S930" s="113"/>
      <c r="T930" s="113"/>
      <c r="U930" s="114"/>
      <c r="V930" s="115"/>
      <c r="W930" s="116"/>
      <c r="X930" s="117"/>
      <c r="Y930" s="111"/>
      <c r="Z930" s="111"/>
      <c r="AH930" s="5"/>
      <c r="AI930" s="5"/>
      <c r="AJ930" s="5"/>
      <c r="AK930" s="5"/>
      <c r="AL930" s="5"/>
      <c r="AM930" s="5"/>
      <c r="AN930" s="5"/>
    </row>
    <row r="931" spans="1:40">
      <c r="A931" s="111"/>
      <c r="B931" s="111"/>
      <c r="C931" s="5"/>
      <c r="D931" s="111"/>
      <c r="E931" s="111"/>
      <c r="F931" s="111"/>
      <c r="G931" s="111"/>
      <c r="H931" s="111"/>
      <c r="I931" s="111"/>
      <c r="J931" s="111"/>
      <c r="K931" s="134"/>
      <c r="L931" s="111"/>
      <c r="M931" s="134"/>
      <c r="N931" s="134"/>
      <c r="O931" s="111"/>
      <c r="P931" s="111"/>
      <c r="Q931" s="139"/>
      <c r="R931" s="113"/>
      <c r="S931" s="113"/>
      <c r="T931" s="113"/>
      <c r="U931" s="114"/>
      <c r="V931" s="115"/>
      <c r="W931" s="116"/>
      <c r="X931" s="117"/>
      <c r="Y931" s="111"/>
      <c r="Z931" s="111"/>
      <c r="AH931" s="5"/>
      <c r="AI931" s="5"/>
      <c r="AJ931" s="5"/>
      <c r="AK931" s="5"/>
      <c r="AL931" s="5"/>
      <c r="AM931" s="5"/>
      <c r="AN931" s="5"/>
    </row>
    <row r="932" spans="1:40">
      <c r="A932" s="111"/>
      <c r="B932" s="111"/>
      <c r="C932" s="5"/>
      <c r="D932" s="111"/>
      <c r="E932" s="111"/>
      <c r="F932" s="111"/>
      <c r="G932" s="111"/>
      <c r="H932" s="111"/>
      <c r="I932" s="111"/>
      <c r="J932" s="111"/>
      <c r="K932" s="134"/>
      <c r="L932" s="111"/>
      <c r="M932" s="134"/>
      <c r="N932" s="134"/>
      <c r="O932" s="111"/>
      <c r="P932" s="111"/>
      <c r="Q932" s="139"/>
      <c r="R932" s="113"/>
      <c r="S932" s="113"/>
      <c r="T932" s="113"/>
      <c r="U932" s="114"/>
      <c r="V932" s="115"/>
      <c r="W932" s="116"/>
      <c r="X932" s="117"/>
      <c r="Y932" s="111"/>
      <c r="Z932" s="111"/>
      <c r="AH932" s="5"/>
      <c r="AI932" s="5"/>
      <c r="AJ932" s="5"/>
      <c r="AK932" s="5"/>
      <c r="AL932" s="5"/>
      <c r="AM932" s="5"/>
      <c r="AN932" s="5"/>
    </row>
    <row r="933" spans="1:40">
      <c r="A933" s="111"/>
      <c r="B933" s="111"/>
      <c r="C933" s="5"/>
      <c r="D933" s="111"/>
      <c r="E933" s="111"/>
      <c r="F933" s="111"/>
      <c r="G933" s="111"/>
      <c r="H933" s="111"/>
      <c r="I933" s="111"/>
      <c r="J933" s="111"/>
      <c r="K933" s="134"/>
      <c r="L933" s="111"/>
      <c r="M933" s="134"/>
      <c r="N933" s="134"/>
      <c r="O933" s="111"/>
      <c r="P933" s="111"/>
      <c r="Q933" s="139"/>
      <c r="R933" s="113"/>
      <c r="S933" s="113"/>
      <c r="T933" s="113"/>
      <c r="U933" s="114"/>
      <c r="V933" s="115"/>
      <c r="W933" s="116"/>
      <c r="X933" s="117"/>
      <c r="Y933" s="111"/>
      <c r="Z933" s="111"/>
      <c r="AH933" s="5"/>
      <c r="AI933" s="5"/>
      <c r="AJ933" s="5"/>
      <c r="AK933" s="5"/>
      <c r="AL933" s="5"/>
      <c r="AM933" s="5"/>
      <c r="AN933" s="5"/>
    </row>
    <row r="934" spans="1:40">
      <c r="A934" s="111"/>
      <c r="B934" s="111"/>
      <c r="C934" s="5"/>
      <c r="D934" s="111"/>
      <c r="E934" s="111"/>
      <c r="F934" s="111"/>
      <c r="G934" s="111"/>
      <c r="H934" s="111"/>
      <c r="I934" s="111"/>
      <c r="J934" s="111"/>
      <c r="K934" s="134"/>
      <c r="L934" s="111"/>
      <c r="M934" s="134"/>
      <c r="N934" s="134"/>
      <c r="O934" s="111"/>
      <c r="P934" s="111"/>
      <c r="Q934" s="139"/>
      <c r="R934" s="113"/>
      <c r="S934" s="113"/>
      <c r="T934" s="113"/>
      <c r="U934" s="114"/>
      <c r="V934" s="115"/>
      <c r="W934" s="116"/>
      <c r="X934" s="117"/>
      <c r="Y934" s="111"/>
      <c r="Z934" s="111"/>
      <c r="AH934" s="5"/>
      <c r="AI934" s="5"/>
      <c r="AJ934" s="5"/>
      <c r="AK934" s="5"/>
      <c r="AL934" s="5"/>
      <c r="AM934" s="5"/>
      <c r="AN934" s="5"/>
    </row>
    <row r="935" spans="1:40">
      <c r="A935" s="111"/>
      <c r="B935" s="111"/>
      <c r="C935" s="5"/>
      <c r="D935" s="111"/>
      <c r="E935" s="111"/>
      <c r="F935" s="111"/>
      <c r="G935" s="111"/>
      <c r="H935" s="111"/>
      <c r="I935" s="111"/>
      <c r="J935" s="111"/>
      <c r="K935" s="134"/>
      <c r="L935" s="111"/>
      <c r="M935" s="134"/>
      <c r="N935" s="134"/>
      <c r="O935" s="111"/>
      <c r="P935" s="111"/>
      <c r="Q935" s="139"/>
      <c r="R935" s="113"/>
      <c r="S935" s="113"/>
      <c r="T935" s="113"/>
      <c r="U935" s="114"/>
      <c r="V935" s="115"/>
      <c r="W935" s="116"/>
      <c r="X935" s="117"/>
      <c r="Y935" s="111"/>
      <c r="Z935" s="111"/>
      <c r="AH935" s="5"/>
      <c r="AI935" s="5"/>
      <c r="AJ935" s="5"/>
      <c r="AK935" s="5"/>
      <c r="AL935" s="5"/>
      <c r="AM935" s="5"/>
      <c r="AN935" s="5"/>
    </row>
    <row r="936" spans="1:40">
      <c r="A936" s="111"/>
      <c r="B936" s="111"/>
      <c r="C936" s="5"/>
      <c r="D936" s="111"/>
      <c r="E936" s="111"/>
      <c r="F936" s="111"/>
      <c r="G936" s="111"/>
      <c r="H936" s="111"/>
      <c r="I936" s="111"/>
      <c r="J936" s="111"/>
      <c r="K936" s="134"/>
      <c r="L936" s="111"/>
      <c r="M936" s="134"/>
      <c r="N936" s="134"/>
      <c r="O936" s="111"/>
      <c r="P936" s="111"/>
      <c r="Q936" s="139"/>
      <c r="R936" s="113"/>
      <c r="S936" s="113"/>
      <c r="T936" s="113"/>
      <c r="U936" s="114"/>
      <c r="V936" s="115"/>
      <c r="W936" s="116"/>
      <c r="X936" s="117"/>
      <c r="Y936" s="111"/>
      <c r="Z936" s="111"/>
      <c r="AH936" s="5"/>
      <c r="AI936" s="5"/>
      <c r="AJ936" s="5"/>
      <c r="AK936" s="5"/>
      <c r="AL936" s="5"/>
      <c r="AM936" s="5"/>
      <c r="AN936" s="5"/>
    </row>
    <row r="937" spans="1:40">
      <c r="A937" s="111"/>
      <c r="B937" s="111"/>
      <c r="C937" s="5"/>
      <c r="D937" s="111"/>
      <c r="E937" s="111"/>
      <c r="F937" s="111"/>
      <c r="G937" s="111"/>
      <c r="H937" s="111"/>
      <c r="I937" s="111"/>
      <c r="J937" s="111"/>
      <c r="K937" s="134"/>
      <c r="L937" s="111"/>
      <c r="M937" s="134"/>
      <c r="N937" s="134"/>
      <c r="O937" s="111"/>
      <c r="P937" s="111"/>
      <c r="Q937" s="139"/>
      <c r="R937" s="113"/>
      <c r="S937" s="113"/>
      <c r="T937" s="113"/>
      <c r="U937" s="114"/>
      <c r="V937" s="115"/>
      <c r="W937" s="116"/>
      <c r="X937" s="117"/>
      <c r="Y937" s="111"/>
      <c r="Z937" s="111"/>
      <c r="AH937" s="5"/>
      <c r="AI937" s="5"/>
      <c r="AJ937" s="5"/>
      <c r="AK937" s="5"/>
      <c r="AL937" s="5"/>
      <c r="AM937" s="5"/>
      <c r="AN937" s="5"/>
    </row>
    <row r="938" spans="1:40">
      <c r="A938" s="111"/>
      <c r="B938" s="111"/>
      <c r="C938" s="5"/>
      <c r="D938" s="111"/>
      <c r="E938" s="111"/>
      <c r="F938" s="111"/>
      <c r="G938" s="111"/>
      <c r="H938" s="111"/>
      <c r="I938" s="111"/>
      <c r="J938" s="111"/>
      <c r="K938" s="134"/>
      <c r="L938" s="111"/>
      <c r="M938" s="134"/>
      <c r="N938" s="134"/>
      <c r="O938" s="111"/>
      <c r="P938" s="111"/>
      <c r="Q938" s="139"/>
      <c r="R938" s="113"/>
      <c r="S938" s="113"/>
      <c r="T938" s="113"/>
      <c r="U938" s="114"/>
      <c r="V938" s="115"/>
      <c r="W938" s="116"/>
      <c r="X938" s="117"/>
      <c r="Y938" s="111"/>
      <c r="Z938" s="111"/>
      <c r="AH938" s="5"/>
      <c r="AI938" s="5"/>
      <c r="AJ938" s="5"/>
      <c r="AK938" s="5"/>
      <c r="AL938" s="5"/>
      <c r="AM938" s="5"/>
      <c r="AN938" s="5"/>
    </row>
    <row r="939" spans="1:40">
      <c r="A939" s="111"/>
      <c r="B939" s="111"/>
      <c r="C939" s="5"/>
      <c r="D939" s="111"/>
      <c r="E939" s="111"/>
      <c r="F939" s="111"/>
      <c r="G939" s="111"/>
      <c r="H939" s="111"/>
      <c r="I939" s="111"/>
      <c r="J939" s="111"/>
      <c r="K939" s="134"/>
      <c r="L939" s="111"/>
      <c r="M939" s="134"/>
      <c r="N939" s="134"/>
      <c r="O939" s="111"/>
      <c r="P939" s="111"/>
      <c r="Q939" s="139"/>
      <c r="R939" s="113"/>
      <c r="S939" s="113"/>
      <c r="T939" s="113"/>
      <c r="U939" s="114"/>
      <c r="V939" s="115"/>
      <c r="W939" s="116"/>
      <c r="X939" s="117"/>
      <c r="Y939" s="111"/>
      <c r="Z939" s="111"/>
      <c r="AH939" s="5"/>
      <c r="AI939" s="5"/>
      <c r="AJ939" s="5"/>
      <c r="AK939" s="5"/>
      <c r="AL939" s="5"/>
      <c r="AM939" s="5"/>
      <c r="AN939" s="5"/>
    </row>
    <row r="940" spans="1:40">
      <c r="A940" s="111"/>
      <c r="B940" s="111"/>
      <c r="C940" s="5"/>
      <c r="D940" s="111"/>
      <c r="E940" s="111"/>
      <c r="F940" s="111"/>
      <c r="G940" s="111"/>
      <c r="H940" s="111"/>
      <c r="I940" s="111"/>
      <c r="J940" s="111"/>
      <c r="K940" s="134"/>
      <c r="L940" s="111"/>
      <c r="M940" s="134"/>
      <c r="N940" s="134"/>
      <c r="O940" s="111"/>
      <c r="P940" s="111"/>
      <c r="Q940" s="139"/>
      <c r="R940" s="113"/>
      <c r="S940" s="113"/>
      <c r="T940" s="113"/>
      <c r="U940" s="114"/>
      <c r="V940" s="115"/>
      <c r="W940" s="116"/>
      <c r="X940" s="117"/>
      <c r="Y940" s="111"/>
      <c r="Z940" s="111"/>
      <c r="AH940" s="5"/>
      <c r="AI940" s="5"/>
      <c r="AJ940" s="5"/>
      <c r="AK940" s="5"/>
      <c r="AL940" s="5"/>
      <c r="AM940" s="5"/>
      <c r="AN940" s="5"/>
    </row>
    <row r="941" spans="1:40">
      <c r="A941" s="111"/>
      <c r="B941" s="111"/>
      <c r="C941" s="5"/>
      <c r="D941" s="111"/>
      <c r="E941" s="111"/>
      <c r="F941" s="111"/>
      <c r="G941" s="111"/>
      <c r="H941" s="111"/>
      <c r="I941" s="111"/>
      <c r="J941" s="111"/>
      <c r="K941" s="134"/>
      <c r="L941" s="111"/>
      <c r="M941" s="134"/>
      <c r="N941" s="134"/>
      <c r="O941" s="111"/>
      <c r="P941" s="111"/>
      <c r="Q941" s="139"/>
      <c r="R941" s="113"/>
      <c r="S941" s="113"/>
      <c r="T941" s="113"/>
      <c r="U941" s="114"/>
      <c r="V941" s="115"/>
      <c r="W941" s="116"/>
      <c r="X941" s="117"/>
      <c r="Y941" s="111"/>
      <c r="Z941" s="111"/>
      <c r="AH941" s="5"/>
      <c r="AI941" s="5"/>
      <c r="AJ941" s="5"/>
      <c r="AK941" s="5"/>
      <c r="AL941" s="5"/>
      <c r="AM941" s="5"/>
      <c r="AN941" s="5"/>
    </row>
    <row r="942" spans="1:40">
      <c r="A942" s="111"/>
      <c r="B942" s="111"/>
      <c r="C942" s="5"/>
      <c r="D942" s="111"/>
      <c r="E942" s="111"/>
      <c r="F942" s="111"/>
      <c r="G942" s="111"/>
      <c r="H942" s="111"/>
      <c r="I942" s="111"/>
      <c r="J942" s="111"/>
      <c r="K942" s="134"/>
      <c r="L942" s="111"/>
      <c r="M942" s="134"/>
      <c r="N942" s="134"/>
      <c r="O942" s="111"/>
      <c r="P942" s="111"/>
      <c r="Q942" s="139"/>
      <c r="R942" s="113"/>
      <c r="S942" s="113"/>
      <c r="T942" s="113"/>
      <c r="U942" s="114"/>
      <c r="V942" s="115"/>
      <c r="W942" s="116"/>
      <c r="X942" s="117"/>
      <c r="Y942" s="111"/>
      <c r="Z942" s="111"/>
      <c r="AH942" s="5"/>
      <c r="AI942" s="5"/>
      <c r="AJ942" s="5"/>
      <c r="AK942" s="5"/>
      <c r="AL942" s="5"/>
      <c r="AM942" s="5"/>
      <c r="AN942" s="5"/>
    </row>
    <row r="943" spans="1:40">
      <c r="A943" s="111"/>
      <c r="B943" s="111"/>
      <c r="C943" s="5"/>
      <c r="D943" s="111"/>
      <c r="E943" s="111"/>
      <c r="F943" s="111"/>
      <c r="G943" s="111"/>
      <c r="H943" s="111"/>
      <c r="I943" s="111"/>
      <c r="J943" s="111"/>
      <c r="K943" s="134"/>
      <c r="L943" s="111"/>
      <c r="M943" s="134"/>
      <c r="N943" s="134"/>
      <c r="O943" s="111"/>
      <c r="P943" s="111"/>
      <c r="Q943" s="139"/>
      <c r="R943" s="113"/>
      <c r="S943" s="113"/>
      <c r="T943" s="113"/>
      <c r="U943" s="114"/>
      <c r="V943" s="115"/>
      <c r="W943" s="116"/>
      <c r="X943" s="117"/>
      <c r="Y943" s="111"/>
      <c r="Z943" s="111"/>
      <c r="AH943" s="5"/>
      <c r="AI943" s="5"/>
      <c r="AJ943" s="5"/>
      <c r="AK943" s="5"/>
      <c r="AL943" s="5"/>
      <c r="AM943" s="5"/>
      <c r="AN943" s="5"/>
    </row>
    <row r="944" spans="1:40">
      <c r="A944" s="111"/>
      <c r="B944" s="111"/>
      <c r="C944" s="5"/>
      <c r="D944" s="111"/>
      <c r="E944" s="111"/>
      <c r="F944" s="111"/>
      <c r="G944" s="111"/>
      <c r="H944" s="111"/>
      <c r="I944" s="111"/>
      <c r="J944" s="111"/>
      <c r="K944" s="134"/>
      <c r="L944" s="111"/>
      <c r="M944" s="134"/>
      <c r="N944" s="134"/>
      <c r="O944" s="111"/>
      <c r="P944" s="111"/>
      <c r="Q944" s="139"/>
      <c r="R944" s="113"/>
      <c r="S944" s="113"/>
      <c r="T944" s="113"/>
      <c r="U944" s="114"/>
      <c r="V944" s="115"/>
      <c r="W944" s="116"/>
      <c r="X944" s="117"/>
      <c r="Y944" s="111"/>
      <c r="Z944" s="111"/>
      <c r="AH944" s="5"/>
      <c r="AI944" s="5"/>
      <c r="AJ944" s="5"/>
      <c r="AK944" s="5"/>
      <c r="AL944" s="5"/>
      <c r="AM944" s="5"/>
      <c r="AN944" s="5"/>
    </row>
    <row r="945" spans="1:40">
      <c r="A945" s="111"/>
      <c r="B945" s="111"/>
      <c r="C945" s="5"/>
      <c r="D945" s="111"/>
      <c r="E945" s="111"/>
      <c r="F945" s="111"/>
      <c r="G945" s="111"/>
      <c r="H945" s="111"/>
      <c r="I945" s="111"/>
      <c r="J945" s="111"/>
      <c r="K945" s="134"/>
      <c r="L945" s="111"/>
      <c r="M945" s="134"/>
      <c r="N945" s="134"/>
      <c r="O945" s="111"/>
      <c r="P945" s="111"/>
      <c r="Q945" s="139"/>
      <c r="R945" s="113"/>
      <c r="S945" s="113"/>
      <c r="T945" s="113"/>
      <c r="U945" s="114"/>
      <c r="V945" s="115"/>
      <c r="W945" s="116"/>
      <c r="X945" s="117"/>
      <c r="Y945" s="111"/>
      <c r="Z945" s="111"/>
      <c r="AH945" s="5"/>
      <c r="AI945" s="5"/>
      <c r="AJ945" s="5"/>
      <c r="AK945" s="5"/>
      <c r="AL945" s="5"/>
      <c r="AM945" s="5"/>
      <c r="AN945" s="5"/>
    </row>
    <row r="946" spans="1:40">
      <c r="A946" s="111"/>
      <c r="B946" s="111"/>
      <c r="C946" s="5"/>
      <c r="D946" s="111"/>
      <c r="E946" s="111"/>
      <c r="F946" s="111"/>
      <c r="G946" s="111"/>
      <c r="H946" s="111"/>
      <c r="I946" s="111"/>
      <c r="J946" s="111"/>
      <c r="K946" s="134"/>
      <c r="L946" s="111"/>
      <c r="M946" s="134"/>
      <c r="N946" s="134"/>
      <c r="O946" s="111"/>
      <c r="P946" s="111"/>
      <c r="Q946" s="139"/>
      <c r="R946" s="113"/>
      <c r="S946" s="113"/>
      <c r="T946" s="113"/>
      <c r="U946" s="114"/>
      <c r="V946" s="115"/>
      <c r="W946" s="116"/>
      <c r="X946" s="117"/>
      <c r="Y946" s="111"/>
      <c r="Z946" s="111"/>
      <c r="AH946" s="5"/>
      <c r="AI946" s="5"/>
      <c r="AJ946" s="5"/>
      <c r="AK946" s="5"/>
      <c r="AL946" s="5"/>
      <c r="AM946" s="5"/>
      <c r="AN946" s="5"/>
    </row>
    <row r="947" spans="1:40">
      <c r="A947" s="111"/>
      <c r="B947" s="111"/>
      <c r="C947" s="5"/>
      <c r="D947" s="111"/>
      <c r="E947" s="111"/>
      <c r="F947" s="111"/>
      <c r="G947" s="111"/>
      <c r="H947" s="111"/>
      <c r="I947" s="111"/>
      <c r="J947" s="111"/>
      <c r="K947" s="134"/>
      <c r="L947" s="111"/>
      <c r="M947" s="134"/>
      <c r="N947" s="134"/>
      <c r="O947" s="111"/>
      <c r="P947" s="111"/>
      <c r="Q947" s="139"/>
      <c r="R947" s="113"/>
      <c r="S947" s="113"/>
      <c r="T947" s="113"/>
      <c r="U947" s="114"/>
      <c r="V947" s="115"/>
      <c r="W947" s="116"/>
      <c r="X947" s="117"/>
      <c r="Y947" s="111"/>
      <c r="Z947" s="111"/>
      <c r="AH947" s="5"/>
      <c r="AI947" s="5"/>
      <c r="AJ947" s="5"/>
      <c r="AK947" s="5"/>
      <c r="AL947" s="5"/>
      <c r="AM947" s="5"/>
      <c r="AN947" s="5"/>
    </row>
    <row r="948" spans="1:40">
      <c r="A948" s="111"/>
      <c r="B948" s="111"/>
      <c r="C948" s="5"/>
      <c r="D948" s="111"/>
      <c r="E948" s="111"/>
      <c r="F948" s="111"/>
      <c r="G948" s="111"/>
      <c r="H948" s="111"/>
      <c r="I948" s="111"/>
      <c r="J948" s="111"/>
      <c r="K948" s="134"/>
      <c r="L948" s="111"/>
      <c r="M948" s="134"/>
      <c r="N948" s="134"/>
      <c r="O948" s="111"/>
      <c r="P948" s="111"/>
      <c r="Q948" s="139"/>
      <c r="R948" s="113"/>
      <c r="S948" s="113"/>
      <c r="T948" s="113"/>
      <c r="U948" s="114"/>
      <c r="V948" s="115"/>
      <c r="W948" s="116"/>
      <c r="X948" s="117"/>
      <c r="Y948" s="111"/>
      <c r="Z948" s="111"/>
      <c r="AH948" s="5"/>
      <c r="AI948" s="5"/>
      <c r="AJ948" s="5"/>
      <c r="AK948" s="5"/>
      <c r="AL948" s="5"/>
      <c r="AM948" s="5"/>
      <c r="AN948" s="5"/>
    </row>
    <row r="949" spans="1:40">
      <c r="A949" s="111"/>
      <c r="B949" s="111"/>
      <c r="C949" s="5"/>
      <c r="D949" s="111"/>
      <c r="E949" s="111"/>
      <c r="F949" s="111"/>
      <c r="G949" s="111"/>
      <c r="H949" s="111"/>
      <c r="I949" s="111"/>
      <c r="J949" s="111"/>
      <c r="K949" s="134"/>
      <c r="L949" s="111"/>
      <c r="M949" s="134"/>
      <c r="N949" s="134"/>
      <c r="O949" s="111"/>
      <c r="P949" s="111"/>
      <c r="Q949" s="139"/>
      <c r="R949" s="113"/>
      <c r="S949" s="113"/>
      <c r="T949" s="113"/>
      <c r="U949" s="114"/>
      <c r="V949" s="115"/>
      <c r="W949" s="116"/>
      <c r="X949" s="117"/>
      <c r="Y949" s="111"/>
      <c r="Z949" s="111"/>
      <c r="AH949" s="5"/>
      <c r="AI949" s="5"/>
      <c r="AJ949" s="5"/>
      <c r="AK949" s="5"/>
      <c r="AL949" s="5"/>
      <c r="AM949" s="5"/>
      <c r="AN949" s="5"/>
    </row>
    <row r="950" spans="1:40">
      <c r="A950" s="111"/>
      <c r="B950" s="111"/>
      <c r="C950" s="5"/>
      <c r="D950" s="111"/>
      <c r="E950" s="111"/>
      <c r="F950" s="111"/>
      <c r="G950" s="111"/>
      <c r="H950" s="111"/>
      <c r="I950" s="111"/>
      <c r="J950" s="111"/>
      <c r="K950" s="134"/>
      <c r="L950" s="111"/>
      <c r="M950" s="134"/>
      <c r="N950" s="134"/>
      <c r="O950" s="111"/>
      <c r="P950" s="111"/>
      <c r="Q950" s="139"/>
      <c r="R950" s="113"/>
      <c r="S950" s="113"/>
      <c r="T950" s="113"/>
      <c r="U950" s="114"/>
      <c r="V950" s="115"/>
      <c r="W950" s="116"/>
      <c r="X950" s="117"/>
      <c r="Y950" s="111"/>
      <c r="Z950" s="111"/>
      <c r="AH950" s="5"/>
      <c r="AI950" s="5"/>
      <c r="AJ950" s="5"/>
      <c r="AK950" s="5"/>
      <c r="AL950" s="5"/>
      <c r="AM950" s="5"/>
      <c r="AN950" s="5"/>
    </row>
    <row r="951" spans="1:40">
      <c r="A951" s="111"/>
      <c r="B951" s="111"/>
      <c r="C951" s="5"/>
      <c r="D951" s="111"/>
      <c r="E951" s="111"/>
      <c r="F951" s="111"/>
      <c r="G951" s="111"/>
      <c r="H951" s="111"/>
      <c r="I951" s="111"/>
      <c r="J951" s="111"/>
      <c r="K951" s="134"/>
      <c r="L951" s="111"/>
      <c r="M951" s="134"/>
      <c r="N951" s="134"/>
      <c r="O951" s="111"/>
      <c r="P951" s="111"/>
      <c r="Q951" s="139"/>
      <c r="R951" s="113"/>
      <c r="S951" s="113"/>
      <c r="T951" s="113"/>
      <c r="U951" s="114"/>
      <c r="V951" s="115"/>
      <c r="W951" s="116"/>
      <c r="X951" s="117"/>
      <c r="Y951" s="111"/>
      <c r="Z951" s="111"/>
      <c r="AH951" s="5"/>
      <c r="AI951" s="5"/>
      <c r="AJ951" s="5"/>
      <c r="AK951" s="5"/>
      <c r="AL951" s="5"/>
      <c r="AM951" s="5"/>
      <c r="AN951" s="5"/>
    </row>
    <row r="952" spans="1:40">
      <c r="A952" s="111"/>
      <c r="B952" s="111"/>
      <c r="C952" s="5"/>
      <c r="D952" s="111"/>
      <c r="E952" s="111"/>
      <c r="F952" s="111"/>
      <c r="G952" s="111"/>
      <c r="H952" s="111"/>
      <c r="I952" s="111"/>
      <c r="J952" s="111"/>
      <c r="K952" s="134"/>
      <c r="L952" s="111"/>
      <c r="M952" s="134"/>
      <c r="N952" s="134"/>
      <c r="O952" s="111"/>
      <c r="P952" s="111"/>
      <c r="Q952" s="139"/>
      <c r="R952" s="113"/>
      <c r="S952" s="113"/>
      <c r="T952" s="113"/>
      <c r="U952" s="114"/>
      <c r="V952" s="115"/>
      <c r="W952" s="116"/>
      <c r="X952" s="117"/>
      <c r="Y952" s="111"/>
      <c r="Z952" s="111"/>
      <c r="AH952" s="5"/>
      <c r="AI952" s="5"/>
      <c r="AJ952" s="5"/>
      <c r="AK952" s="5"/>
      <c r="AL952" s="5"/>
      <c r="AM952" s="5"/>
      <c r="AN952" s="5"/>
    </row>
    <row r="953" spans="1:40">
      <c r="A953" s="111"/>
      <c r="B953" s="111"/>
      <c r="C953" s="5"/>
      <c r="D953" s="111"/>
      <c r="E953" s="111"/>
      <c r="F953" s="111"/>
      <c r="G953" s="111"/>
      <c r="H953" s="111"/>
      <c r="I953" s="111"/>
      <c r="J953" s="111"/>
      <c r="K953" s="134"/>
      <c r="L953" s="111"/>
      <c r="M953" s="134"/>
      <c r="N953" s="134"/>
      <c r="O953" s="111"/>
      <c r="P953" s="111"/>
      <c r="Q953" s="139"/>
      <c r="R953" s="113"/>
      <c r="S953" s="113"/>
      <c r="T953" s="113"/>
      <c r="U953" s="114"/>
      <c r="V953" s="115"/>
      <c r="W953" s="116"/>
      <c r="X953" s="117"/>
      <c r="Y953" s="111"/>
      <c r="Z953" s="111"/>
      <c r="AH953" s="5"/>
      <c r="AI953" s="5"/>
      <c r="AJ953" s="5"/>
      <c r="AK953" s="5"/>
      <c r="AL953" s="5"/>
      <c r="AM953" s="5"/>
      <c r="AN953" s="5"/>
    </row>
    <row r="954" spans="1:40">
      <c r="A954" s="111"/>
      <c r="B954" s="111"/>
      <c r="C954" s="5"/>
      <c r="D954" s="111"/>
      <c r="E954" s="111"/>
      <c r="F954" s="111"/>
      <c r="G954" s="111"/>
      <c r="H954" s="111"/>
      <c r="I954" s="111"/>
      <c r="J954" s="111"/>
      <c r="K954" s="134"/>
      <c r="L954" s="111"/>
      <c r="M954" s="134"/>
      <c r="N954" s="134"/>
      <c r="O954" s="111"/>
      <c r="P954" s="111"/>
      <c r="Q954" s="139"/>
      <c r="R954" s="113"/>
      <c r="S954" s="113"/>
      <c r="T954" s="113"/>
      <c r="U954" s="114"/>
      <c r="V954" s="115"/>
      <c r="W954" s="116"/>
      <c r="X954" s="117"/>
      <c r="Y954" s="111"/>
      <c r="Z954" s="111"/>
      <c r="AH954" s="5"/>
      <c r="AI954" s="5"/>
      <c r="AJ954" s="5"/>
      <c r="AK954" s="5"/>
      <c r="AL954" s="5"/>
      <c r="AM954" s="5"/>
      <c r="AN954" s="5"/>
    </row>
    <row r="955" spans="1:40">
      <c r="A955" s="111"/>
      <c r="B955" s="111"/>
      <c r="C955" s="5"/>
      <c r="D955" s="111"/>
      <c r="E955" s="111"/>
      <c r="F955" s="111"/>
      <c r="G955" s="111"/>
      <c r="H955" s="111"/>
      <c r="I955" s="111"/>
      <c r="J955" s="111"/>
      <c r="K955" s="134"/>
      <c r="L955" s="111"/>
      <c r="M955" s="134"/>
      <c r="N955" s="134"/>
      <c r="O955" s="111"/>
      <c r="P955" s="111"/>
      <c r="Q955" s="139"/>
      <c r="R955" s="113"/>
      <c r="S955" s="113"/>
      <c r="T955" s="113"/>
      <c r="U955" s="114"/>
      <c r="V955" s="115"/>
      <c r="W955" s="116"/>
      <c r="X955" s="117"/>
      <c r="Y955" s="111"/>
      <c r="Z955" s="111"/>
      <c r="AH955" s="5"/>
      <c r="AI955" s="5"/>
      <c r="AJ955" s="5"/>
      <c r="AK955" s="5"/>
      <c r="AL955" s="5"/>
      <c r="AM955" s="5"/>
      <c r="AN955" s="5"/>
    </row>
    <row r="956" spans="1:40">
      <c r="A956" s="111"/>
      <c r="B956" s="111"/>
      <c r="C956" s="5"/>
      <c r="D956" s="111"/>
      <c r="E956" s="111"/>
      <c r="F956" s="111"/>
      <c r="G956" s="111"/>
      <c r="H956" s="111"/>
      <c r="I956" s="111"/>
      <c r="J956" s="111"/>
      <c r="K956" s="134"/>
      <c r="L956" s="111"/>
      <c r="M956" s="134"/>
      <c r="N956" s="134"/>
      <c r="O956" s="111"/>
      <c r="P956" s="111"/>
      <c r="Q956" s="139"/>
      <c r="R956" s="113"/>
      <c r="S956" s="113"/>
      <c r="T956" s="113"/>
      <c r="U956" s="114"/>
      <c r="V956" s="115"/>
      <c r="W956" s="116"/>
      <c r="X956" s="117"/>
      <c r="Y956" s="111"/>
      <c r="Z956" s="111"/>
      <c r="AH956" s="5"/>
      <c r="AI956" s="5"/>
      <c r="AJ956" s="5"/>
      <c r="AK956" s="5"/>
      <c r="AL956" s="5"/>
      <c r="AM956" s="5"/>
      <c r="AN956" s="5"/>
    </row>
    <row r="957" spans="1:40">
      <c r="A957" s="111"/>
      <c r="B957" s="111"/>
      <c r="C957" s="5"/>
      <c r="D957" s="111"/>
      <c r="E957" s="111"/>
      <c r="F957" s="111"/>
      <c r="G957" s="111"/>
      <c r="H957" s="111"/>
      <c r="I957" s="111"/>
      <c r="J957" s="111"/>
      <c r="K957" s="134"/>
      <c r="L957" s="111"/>
      <c r="M957" s="134"/>
      <c r="N957" s="134"/>
      <c r="O957" s="111"/>
      <c r="P957" s="111"/>
      <c r="Q957" s="139"/>
      <c r="R957" s="113"/>
      <c r="S957" s="113"/>
      <c r="T957" s="113"/>
      <c r="U957" s="114"/>
      <c r="V957" s="115"/>
      <c r="W957" s="116"/>
      <c r="X957" s="117"/>
      <c r="Y957" s="111"/>
      <c r="Z957" s="111"/>
      <c r="AH957" s="5"/>
      <c r="AI957" s="5"/>
      <c r="AJ957" s="5"/>
      <c r="AK957" s="5"/>
      <c r="AL957" s="5"/>
      <c r="AM957" s="5"/>
      <c r="AN957" s="5"/>
    </row>
    <row r="958" spans="1:40">
      <c r="A958" s="111"/>
      <c r="B958" s="111"/>
      <c r="C958" s="5"/>
      <c r="D958" s="111"/>
      <c r="E958" s="111"/>
      <c r="F958" s="111"/>
      <c r="G958" s="111"/>
      <c r="H958" s="111"/>
      <c r="I958" s="111"/>
      <c r="J958" s="111"/>
      <c r="K958" s="134"/>
      <c r="L958" s="111"/>
      <c r="M958" s="134"/>
      <c r="N958" s="134"/>
      <c r="O958" s="111"/>
      <c r="P958" s="111"/>
      <c r="Q958" s="139"/>
      <c r="R958" s="113"/>
      <c r="S958" s="113"/>
      <c r="T958" s="113"/>
      <c r="U958" s="114"/>
      <c r="V958" s="115"/>
      <c r="W958" s="116"/>
      <c r="X958" s="117"/>
      <c r="Y958" s="111"/>
      <c r="Z958" s="111"/>
      <c r="AH958" s="5"/>
      <c r="AI958" s="5"/>
      <c r="AJ958" s="5"/>
      <c r="AK958" s="5"/>
      <c r="AL958" s="5"/>
      <c r="AM958" s="5"/>
      <c r="AN958" s="5"/>
    </row>
    <row r="959" spans="1:40">
      <c r="A959" s="111"/>
      <c r="B959" s="111"/>
      <c r="C959" s="5"/>
      <c r="D959" s="111"/>
      <c r="E959" s="111"/>
      <c r="F959" s="111"/>
      <c r="G959" s="111"/>
      <c r="H959" s="111"/>
      <c r="I959" s="111"/>
      <c r="J959" s="111"/>
      <c r="K959" s="134"/>
      <c r="L959" s="111"/>
      <c r="M959" s="134"/>
      <c r="N959" s="134"/>
      <c r="O959" s="111"/>
      <c r="P959" s="111"/>
      <c r="Q959" s="139"/>
      <c r="R959" s="113"/>
      <c r="S959" s="113"/>
      <c r="T959" s="113"/>
      <c r="U959" s="114"/>
      <c r="V959" s="115"/>
      <c r="W959" s="116"/>
      <c r="X959" s="117"/>
      <c r="Y959" s="111"/>
      <c r="Z959" s="111"/>
      <c r="AH959" s="5"/>
      <c r="AI959" s="5"/>
      <c r="AJ959" s="5"/>
      <c r="AK959" s="5"/>
      <c r="AL959" s="5"/>
      <c r="AM959" s="5"/>
      <c r="AN959" s="5"/>
    </row>
    <row r="960" spans="1:40">
      <c r="A960" s="111"/>
      <c r="B960" s="111"/>
      <c r="C960" s="5"/>
      <c r="D960" s="111"/>
      <c r="E960" s="111"/>
      <c r="F960" s="111"/>
      <c r="G960" s="111"/>
      <c r="H960" s="111"/>
      <c r="I960" s="111"/>
      <c r="J960" s="111"/>
      <c r="K960" s="134"/>
      <c r="L960" s="111"/>
      <c r="M960" s="134"/>
      <c r="N960" s="134"/>
      <c r="O960" s="111"/>
      <c r="P960" s="111"/>
      <c r="Q960" s="139"/>
      <c r="R960" s="113"/>
      <c r="S960" s="113"/>
      <c r="T960" s="113"/>
      <c r="U960" s="114"/>
      <c r="V960" s="115"/>
      <c r="W960" s="116"/>
      <c r="X960" s="117"/>
      <c r="Y960" s="111"/>
      <c r="Z960" s="111"/>
      <c r="AH960" s="5"/>
      <c r="AI960" s="5"/>
      <c r="AJ960" s="5"/>
      <c r="AK960" s="5"/>
      <c r="AL960" s="5"/>
      <c r="AM960" s="5"/>
      <c r="AN960" s="5"/>
    </row>
    <row r="961" spans="1:40">
      <c r="A961" s="111"/>
      <c r="B961" s="111"/>
      <c r="C961" s="5"/>
      <c r="D961" s="111"/>
      <c r="E961" s="111"/>
      <c r="F961" s="111"/>
      <c r="G961" s="111"/>
      <c r="H961" s="111"/>
      <c r="I961" s="111"/>
      <c r="J961" s="111"/>
      <c r="K961" s="134"/>
      <c r="L961" s="111"/>
      <c r="M961" s="134"/>
      <c r="N961" s="134"/>
      <c r="O961" s="111"/>
      <c r="P961" s="111"/>
      <c r="Q961" s="139"/>
      <c r="R961" s="113"/>
      <c r="S961" s="113"/>
      <c r="T961" s="113"/>
      <c r="U961" s="114"/>
      <c r="V961" s="115"/>
      <c r="W961" s="116"/>
      <c r="X961" s="117"/>
      <c r="Y961" s="111"/>
      <c r="Z961" s="111"/>
      <c r="AH961" s="5"/>
      <c r="AI961" s="5"/>
      <c r="AJ961" s="5"/>
      <c r="AK961" s="5"/>
      <c r="AL961" s="5"/>
      <c r="AM961" s="5"/>
      <c r="AN961" s="5"/>
    </row>
    <row r="962" spans="1:40">
      <c r="A962" s="111"/>
      <c r="B962" s="111"/>
      <c r="C962" s="5"/>
      <c r="D962" s="111"/>
      <c r="E962" s="111"/>
      <c r="F962" s="111"/>
      <c r="G962" s="111"/>
      <c r="H962" s="111"/>
      <c r="I962" s="111"/>
      <c r="J962" s="111"/>
      <c r="K962" s="134"/>
      <c r="L962" s="111"/>
      <c r="M962" s="134"/>
      <c r="N962" s="134"/>
      <c r="O962" s="111"/>
      <c r="P962" s="111"/>
      <c r="Q962" s="139"/>
      <c r="R962" s="113"/>
      <c r="S962" s="113"/>
      <c r="T962" s="113"/>
      <c r="U962" s="114"/>
      <c r="V962" s="115"/>
      <c r="W962" s="116"/>
      <c r="X962" s="117"/>
      <c r="Y962" s="111"/>
      <c r="Z962" s="111"/>
      <c r="AH962" s="5"/>
      <c r="AI962" s="5"/>
      <c r="AJ962" s="5"/>
      <c r="AK962" s="5"/>
      <c r="AL962" s="5"/>
      <c r="AM962" s="5"/>
      <c r="AN962" s="5"/>
    </row>
    <row r="963" spans="1:40">
      <c r="A963" s="111"/>
      <c r="B963" s="111"/>
      <c r="C963" s="5"/>
      <c r="D963" s="111"/>
      <c r="E963" s="111"/>
      <c r="F963" s="111"/>
      <c r="G963" s="111"/>
      <c r="H963" s="111"/>
      <c r="I963" s="111"/>
      <c r="J963" s="111"/>
      <c r="K963" s="134"/>
      <c r="L963" s="111"/>
      <c r="M963" s="134"/>
      <c r="N963" s="134"/>
      <c r="O963" s="111"/>
      <c r="P963" s="111"/>
      <c r="Q963" s="139"/>
      <c r="R963" s="113"/>
      <c r="S963" s="113"/>
      <c r="T963" s="113"/>
      <c r="U963" s="114"/>
      <c r="V963" s="115"/>
      <c r="W963" s="116"/>
      <c r="X963" s="117"/>
      <c r="Y963" s="111"/>
      <c r="Z963" s="111"/>
      <c r="AH963" s="5"/>
      <c r="AI963" s="5"/>
      <c r="AJ963" s="5"/>
      <c r="AK963" s="5"/>
      <c r="AL963" s="5"/>
      <c r="AM963" s="5"/>
      <c r="AN963" s="5"/>
    </row>
    <row r="964" spans="1:40">
      <c r="A964" s="111"/>
      <c r="B964" s="111"/>
      <c r="C964" s="5"/>
      <c r="D964" s="111"/>
      <c r="E964" s="111"/>
      <c r="F964" s="111"/>
      <c r="G964" s="111"/>
      <c r="H964" s="111"/>
      <c r="I964" s="111"/>
      <c r="J964" s="111"/>
      <c r="K964" s="134"/>
      <c r="L964" s="111"/>
      <c r="M964" s="134"/>
      <c r="N964" s="134"/>
      <c r="O964" s="111"/>
      <c r="P964" s="111"/>
      <c r="Q964" s="139"/>
      <c r="R964" s="113"/>
      <c r="S964" s="113"/>
      <c r="T964" s="113"/>
      <c r="U964" s="114"/>
      <c r="V964" s="115"/>
      <c r="W964" s="116"/>
      <c r="X964" s="117"/>
      <c r="Y964" s="111"/>
      <c r="Z964" s="111"/>
      <c r="AH964" s="5"/>
      <c r="AI964" s="5"/>
      <c r="AJ964" s="5"/>
      <c r="AK964" s="5"/>
      <c r="AL964" s="5"/>
      <c r="AM964" s="5"/>
      <c r="AN964" s="5"/>
    </row>
    <row r="965" spans="1:40">
      <c r="A965" s="111"/>
      <c r="B965" s="111"/>
      <c r="C965" s="5"/>
      <c r="D965" s="111"/>
      <c r="E965" s="111"/>
      <c r="F965" s="111"/>
      <c r="G965" s="111"/>
      <c r="H965" s="111"/>
      <c r="I965" s="111"/>
      <c r="J965" s="111"/>
      <c r="K965" s="134"/>
      <c r="L965" s="111"/>
      <c r="M965" s="134"/>
      <c r="N965" s="134"/>
      <c r="O965" s="111"/>
      <c r="P965" s="111"/>
      <c r="Q965" s="139"/>
      <c r="R965" s="113"/>
      <c r="S965" s="113"/>
      <c r="T965" s="113"/>
      <c r="U965" s="114"/>
      <c r="V965" s="115"/>
      <c r="W965" s="116"/>
      <c r="X965" s="117"/>
      <c r="Y965" s="111"/>
      <c r="Z965" s="111"/>
      <c r="AH965" s="5"/>
      <c r="AI965" s="5"/>
      <c r="AJ965" s="5"/>
      <c r="AK965" s="5"/>
      <c r="AL965" s="5"/>
      <c r="AM965" s="5"/>
      <c r="AN965" s="5"/>
    </row>
    <row r="966" spans="1:40">
      <c r="A966" s="111"/>
      <c r="B966" s="111"/>
      <c r="C966" s="5"/>
      <c r="D966" s="111"/>
      <c r="E966" s="111"/>
      <c r="F966" s="111"/>
      <c r="G966" s="111"/>
      <c r="H966" s="111"/>
      <c r="I966" s="111"/>
      <c r="J966" s="111"/>
      <c r="K966" s="134"/>
      <c r="L966" s="111"/>
      <c r="M966" s="134"/>
      <c r="N966" s="134"/>
      <c r="O966" s="111"/>
      <c r="P966" s="111"/>
      <c r="Q966" s="139"/>
      <c r="R966" s="113"/>
      <c r="S966" s="113"/>
      <c r="T966" s="113"/>
      <c r="U966" s="114"/>
      <c r="V966" s="115"/>
      <c r="W966" s="116"/>
      <c r="X966" s="117"/>
      <c r="Y966" s="111"/>
      <c r="Z966" s="111"/>
      <c r="AH966" s="5"/>
      <c r="AI966" s="5"/>
      <c r="AJ966" s="5"/>
      <c r="AK966" s="5"/>
      <c r="AL966" s="5"/>
      <c r="AM966" s="5"/>
      <c r="AN966" s="5"/>
    </row>
    <row r="967" spans="1:40">
      <c r="A967" s="111"/>
      <c r="B967" s="111"/>
      <c r="C967" s="5"/>
      <c r="D967" s="111"/>
      <c r="E967" s="111"/>
      <c r="F967" s="111"/>
      <c r="G967" s="111"/>
      <c r="H967" s="111"/>
      <c r="I967" s="111"/>
      <c r="J967" s="111"/>
      <c r="K967" s="134"/>
      <c r="L967" s="111"/>
      <c r="M967" s="134"/>
      <c r="N967" s="134"/>
      <c r="O967" s="111"/>
      <c r="P967" s="111"/>
      <c r="Q967" s="139"/>
      <c r="R967" s="113"/>
      <c r="S967" s="113"/>
      <c r="T967" s="113"/>
      <c r="U967" s="114"/>
      <c r="V967" s="115"/>
      <c r="W967" s="116"/>
      <c r="X967" s="117"/>
      <c r="Y967" s="111"/>
      <c r="Z967" s="111"/>
      <c r="AH967" s="5"/>
      <c r="AI967" s="5"/>
      <c r="AJ967" s="5"/>
      <c r="AK967" s="5"/>
      <c r="AL967" s="5"/>
      <c r="AM967" s="5"/>
      <c r="AN967" s="5"/>
    </row>
    <row r="968" spans="1:40">
      <c r="A968" s="111"/>
      <c r="B968" s="111"/>
      <c r="C968" s="5"/>
      <c r="D968" s="111"/>
      <c r="E968" s="111"/>
      <c r="F968" s="111"/>
      <c r="G968" s="111"/>
      <c r="H968" s="111"/>
      <c r="I968" s="111"/>
      <c r="J968" s="111"/>
      <c r="K968" s="134"/>
      <c r="L968" s="111"/>
      <c r="M968" s="134"/>
      <c r="N968" s="134"/>
      <c r="O968" s="111"/>
      <c r="P968" s="111"/>
      <c r="Q968" s="139"/>
      <c r="R968" s="113"/>
      <c r="S968" s="113"/>
      <c r="T968" s="113"/>
      <c r="U968" s="114"/>
      <c r="V968" s="115"/>
      <c r="W968" s="116"/>
      <c r="X968" s="117"/>
      <c r="Y968" s="111"/>
      <c r="Z968" s="111"/>
      <c r="AH968" s="5"/>
      <c r="AI968" s="5"/>
      <c r="AJ968" s="5"/>
      <c r="AK968" s="5"/>
      <c r="AL968" s="5"/>
      <c r="AM968" s="5"/>
      <c r="AN968" s="5"/>
    </row>
    <row r="969" spans="1:40">
      <c r="A969" s="111"/>
      <c r="B969" s="111"/>
      <c r="C969" s="5"/>
      <c r="D969" s="111"/>
      <c r="E969" s="111"/>
      <c r="F969" s="111"/>
      <c r="G969" s="111"/>
      <c r="H969" s="111"/>
      <c r="I969" s="111"/>
      <c r="J969" s="111"/>
      <c r="K969" s="134"/>
      <c r="L969" s="111"/>
      <c r="M969" s="134"/>
      <c r="N969" s="134"/>
      <c r="O969" s="111"/>
      <c r="P969" s="111"/>
      <c r="Q969" s="139"/>
      <c r="R969" s="113"/>
      <c r="S969" s="113"/>
      <c r="T969" s="113"/>
      <c r="U969" s="114"/>
      <c r="V969" s="115"/>
      <c r="W969" s="116"/>
      <c r="X969" s="117"/>
      <c r="Y969" s="111"/>
      <c r="Z969" s="111"/>
      <c r="AH969" s="5"/>
      <c r="AI969" s="5"/>
      <c r="AJ969" s="5"/>
      <c r="AK969" s="5"/>
      <c r="AL969" s="5"/>
      <c r="AM969" s="5"/>
      <c r="AN969" s="5"/>
    </row>
    <row r="970" spans="1:40">
      <c r="A970" s="111"/>
      <c r="B970" s="111"/>
      <c r="C970" s="5"/>
      <c r="D970" s="111"/>
      <c r="E970" s="111"/>
      <c r="F970" s="111"/>
      <c r="G970" s="111"/>
      <c r="H970" s="111"/>
      <c r="I970" s="111"/>
      <c r="J970" s="111"/>
      <c r="K970" s="134"/>
      <c r="L970" s="111"/>
      <c r="M970" s="134"/>
      <c r="N970" s="134"/>
      <c r="O970" s="111"/>
      <c r="P970" s="111"/>
      <c r="Q970" s="139"/>
      <c r="R970" s="113"/>
      <c r="S970" s="113"/>
      <c r="T970" s="113"/>
      <c r="U970" s="114"/>
      <c r="V970" s="115"/>
      <c r="W970" s="116"/>
      <c r="X970" s="117"/>
      <c r="Y970" s="111"/>
      <c r="Z970" s="111"/>
      <c r="AH970" s="5"/>
      <c r="AI970" s="5"/>
      <c r="AJ970" s="5"/>
      <c r="AK970" s="5"/>
      <c r="AL970" s="5"/>
      <c r="AM970" s="5"/>
      <c r="AN970" s="5"/>
    </row>
    <row r="971" spans="1:40">
      <c r="A971" s="111"/>
      <c r="B971" s="111"/>
      <c r="C971" s="5"/>
      <c r="D971" s="111"/>
      <c r="E971" s="111"/>
      <c r="F971" s="111"/>
      <c r="G971" s="111"/>
      <c r="H971" s="111"/>
      <c r="I971" s="111"/>
      <c r="J971" s="111"/>
      <c r="K971" s="134"/>
      <c r="L971" s="111"/>
      <c r="M971" s="134"/>
      <c r="N971" s="134"/>
      <c r="O971" s="111"/>
      <c r="P971" s="111"/>
      <c r="Q971" s="139"/>
      <c r="R971" s="113"/>
      <c r="S971" s="113"/>
      <c r="T971" s="113"/>
      <c r="U971" s="114"/>
      <c r="V971" s="115"/>
      <c r="W971" s="116"/>
      <c r="X971" s="117"/>
      <c r="Y971" s="111"/>
      <c r="Z971" s="111"/>
      <c r="AH971" s="5"/>
      <c r="AI971" s="5"/>
      <c r="AJ971" s="5"/>
      <c r="AK971" s="5"/>
      <c r="AL971" s="5"/>
      <c r="AM971" s="5"/>
      <c r="AN971" s="5"/>
    </row>
    <row r="972" spans="1:40">
      <c r="A972" s="111"/>
      <c r="B972" s="111"/>
      <c r="C972" s="5"/>
      <c r="D972" s="111"/>
      <c r="E972" s="111"/>
      <c r="F972" s="111"/>
      <c r="G972" s="111"/>
      <c r="H972" s="111"/>
      <c r="I972" s="111"/>
      <c r="J972" s="111"/>
      <c r="K972" s="134"/>
      <c r="L972" s="111"/>
      <c r="M972" s="134"/>
      <c r="N972" s="134"/>
      <c r="O972" s="111"/>
      <c r="P972" s="111"/>
      <c r="Q972" s="139"/>
      <c r="R972" s="113"/>
      <c r="S972" s="113"/>
      <c r="T972" s="113"/>
      <c r="U972" s="114"/>
      <c r="V972" s="115"/>
      <c r="W972" s="116"/>
      <c r="X972" s="117"/>
      <c r="Y972" s="111"/>
      <c r="Z972" s="111"/>
      <c r="AH972" s="5"/>
      <c r="AI972" s="5"/>
      <c r="AJ972" s="5"/>
      <c r="AK972" s="5"/>
      <c r="AL972" s="5"/>
      <c r="AM972" s="5"/>
      <c r="AN972" s="5"/>
    </row>
    <row r="973" spans="1:40">
      <c r="A973" s="111"/>
      <c r="B973" s="111"/>
      <c r="C973" s="5"/>
      <c r="D973" s="111"/>
      <c r="E973" s="111"/>
      <c r="F973" s="111"/>
      <c r="G973" s="111"/>
      <c r="H973" s="111"/>
      <c r="I973" s="111"/>
      <c r="J973" s="111"/>
      <c r="K973" s="134"/>
      <c r="L973" s="111"/>
      <c r="M973" s="134"/>
      <c r="N973" s="134"/>
      <c r="O973" s="111"/>
      <c r="P973" s="111"/>
      <c r="Q973" s="139"/>
      <c r="R973" s="113"/>
      <c r="S973" s="113"/>
      <c r="T973" s="113"/>
      <c r="U973" s="114"/>
      <c r="V973" s="115"/>
      <c r="W973" s="116"/>
      <c r="X973" s="117"/>
      <c r="Y973" s="111"/>
      <c r="Z973" s="111"/>
      <c r="AH973" s="5"/>
      <c r="AI973" s="5"/>
      <c r="AJ973" s="5"/>
      <c r="AK973" s="5"/>
      <c r="AL973" s="5"/>
      <c r="AM973" s="5"/>
      <c r="AN973" s="5"/>
    </row>
    <row r="974" spans="1:40">
      <c r="A974" s="111"/>
      <c r="B974" s="111"/>
      <c r="C974" s="5"/>
      <c r="D974" s="111"/>
      <c r="E974" s="111"/>
      <c r="F974" s="111"/>
      <c r="G974" s="111"/>
      <c r="H974" s="111"/>
      <c r="I974" s="111"/>
      <c r="J974" s="111"/>
      <c r="K974" s="134"/>
      <c r="L974" s="111"/>
      <c r="M974" s="134"/>
      <c r="N974" s="134"/>
      <c r="O974" s="111"/>
      <c r="P974" s="111"/>
      <c r="Q974" s="139"/>
      <c r="R974" s="113"/>
      <c r="S974" s="113"/>
      <c r="T974" s="113"/>
      <c r="U974" s="114"/>
      <c r="V974" s="115"/>
      <c r="W974" s="116"/>
      <c r="X974" s="117"/>
      <c r="Y974" s="111"/>
      <c r="Z974" s="111"/>
      <c r="AH974" s="5"/>
      <c r="AI974" s="5"/>
      <c r="AJ974" s="5"/>
      <c r="AK974" s="5"/>
      <c r="AL974" s="5"/>
      <c r="AM974" s="5"/>
      <c r="AN974" s="5"/>
    </row>
    <row r="975" spans="1:40">
      <c r="A975" s="111"/>
      <c r="B975" s="111"/>
      <c r="C975" s="5"/>
      <c r="D975" s="111"/>
      <c r="E975" s="111"/>
      <c r="F975" s="111"/>
      <c r="G975" s="111"/>
      <c r="H975" s="111"/>
      <c r="I975" s="111"/>
      <c r="J975" s="111"/>
      <c r="K975" s="134"/>
      <c r="L975" s="111"/>
      <c r="M975" s="134"/>
      <c r="N975" s="134"/>
      <c r="O975" s="111"/>
      <c r="P975" s="111"/>
      <c r="Q975" s="139"/>
      <c r="R975" s="113"/>
      <c r="S975" s="113"/>
      <c r="T975" s="113"/>
      <c r="U975" s="114"/>
      <c r="V975" s="115"/>
      <c r="W975" s="116"/>
      <c r="X975" s="117"/>
      <c r="Y975" s="111"/>
      <c r="Z975" s="111"/>
      <c r="AH975" s="5"/>
      <c r="AI975" s="5"/>
      <c r="AJ975" s="5"/>
      <c r="AK975" s="5"/>
      <c r="AL975" s="5"/>
      <c r="AM975" s="5"/>
      <c r="AN975" s="5"/>
    </row>
    <row r="976" spans="1:40">
      <c r="A976" s="111"/>
      <c r="B976" s="111"/>
      <c r="C976" s="5"/>
      <c r="D976" s="111"/>
      <c r="E976" s="111"/>
      <c r="F976" s="111"/>
      <c r="G976" s="111"/>
      <c r="H976" s="111"/>
      <c r="I976" s="111"/>
      <c r="J976" s="111"/>
      <c r="K976" s="134"/>
      <c r="L976" s="111"/>
      <c r="M976" s="134"/>
      <c r="N976" s="134"/>
      <c r="O976" s="111"/>
      <c r="P976" s="111"/>
      <c r="Q976" s="139"/>
      <c r="R976" s="113"/>
      <c r="S976" s="113"/>
      <c r="T976" s="113"/>
      <c r="U976" s="114"/>
      <c r="V976" s="115"/>
      <c r="W976" s="116"/>
      <c r="X976" s="117"/>
      <c r="Y976" s="111"/>
      <c r="Z976" s="111"/>
      <c r="AH976" s="5"/>
      <c r="AI976" s="5"/>
      <c r="AJ976" s="5"/>
      <c r="AK976" s="5"/>
      <c r="AL976" s="5"/>
      <c r="AM976" s="5"/>
      <c r="AN976" s="5"/>
    </row>
    <row r="977" spans="1:40">
      <c r="A977" s="111"/>
      <c r="B977" s="111"/>
      <c r="C977" s="5"/>
      <c r="D977" s="111"/>
      <c r="E977" s="111"/>
      <c r="F977" s="111"/>
      <c r="G977" s="111"/>
      <c r="H977" s="111"/>
      <c r="I977" s="111"/>
      <c r="J977" s="111"/>
      <c r="K977" s="134"/>
      <c r="L977" s="111"/>
      <c r="M977" s="134"/>
      <c r="N977" s="134"/>
      <c r="O977" s="111"/>
      <c r="P977" s="111"/>
      <c r="Q977" s="139"/>
      <c r="R977" s="113"/>
      <c r="S977" s="113"/>
      <c r="T977" s="113"/>
      <c r="U977" s="114"/>
      <c r="V977" s="115"/>
      <c r="W977" s="116"/>
      <c r="X977" s="117"/>
      <c r="Y977" s="111"/>
      <c r="Z977" s="111"/>
      <c r="AH977" s="5"/>
      <c r="AI977" s="5"/>
      <c r="AJ977" s="5"/>
      <c r="AK977" s="5"/>
      <c r="AL977" s="5"/>
      <c r="AM977" s="5"/>
      <c r="AN977" s="5"/>
    </row>
    <row r="978" spans="1:40">
      <c r="A978" s="111"/>
      <c r="B978" s="111"/>
      <c r="C978" s="5"/>
      <c r="D978" s="111"/>
      <c r="E978" s="111"/>
      <c r="F978" s="111"/>
      <c r="G978" s="111"/>
      <c r="H978" s="111"/>
      <c r="I978" s="111"/>
      <c r="J978" s="111"/>
      <c r="K978" s="134"/>
      <c r="L978" s="111"/>
      <c r="M978" s="134"/>
      <c r="N978" s="134"/>
      <c r="O978" s="111"/>
      <c r="P978" s="111"/>
      <c r="Q978" s="139"/>
      <c r="R978" s="113"/>
      <c r="S978" s="113"/>
      <c r="T978" s="113"/>
      <c r="U978" s="114"/>
      <c r="V978" s="115"/>
      <c r="W978" s="116"/>
      <c r="X978" s="117"/>
      <c r="Y978" s="111"/>
      <c r="Z978" s="111"/>
      <c r="AH978" s="5"/>
      <c r="AI978" s="5"/>
      <c r="AJ978" s="5"/>
      <c r="AK978" s="5"/>
      <c r="AL978" s="5"/>
      <c r="AM978" s="5"/>
      <c r="AN978" s="5"/>
    </row>
    <row r="979" spans="1:40">
      <c r="A979" s="111"/>
      <c r="B979" s="111"/>
      <c r="C979" s="5"/>
      <c r="D979" s="111"/>
      <c r="E979" s="111"/>
      <c r="F979" s="111"/>
      <c r="G979" s="111"/>
      <c r="H979" s="111"/>
      <c r="I979" s="111"/>
      <c r="J979" s="111"/>
      <c r="K979" s="134"/>
      <c r="L979" s="111"/>
      <c r="M979" s="134"/>
      <c r="N979" s="134"/>
      <c r="O979" s="111"/>
      <c r="P979" s="111"/>
      <c r="Q979" s="139"/>
      <c r="R979" s="113"/>
      <c r="S979" s="113"/>
      <c r="T979" s="113"/>
      <c r="U979" s="114"/>
      <c r="V979" s="115"/>
      <c r="W979" s="116"/>
      <c r="X979" s="117"/>
      <c r="Y979" s="111"/>
      <c r="Z979" s="111"/>
      <c r="AH979" s="5"/>
      <c r="AI979" s="5"/>
      <c r="AJ979" s="5"/>
      <c r="AK979" s="5"/>
      <c r="AL979" s="5"/>
      <c r="AM979" s="5"/>
      <c r="AN979" s="5"/>
    </row>
    <row r="980" spans="1:40">
      <c r="A980" s="111"/>
      <c r="B980" s="111"/>
      <c r="C980" s="5"/>
      <c r="D980" s="111"/>
      <c r="E980" s="111"/>
      <c r="F980" s="111"/>
      <c r="G980" s="111"/>
      <c r="H980" s="111"/>
      <c r="I980" s="111"/>
      <c r="J980" s="111"/>
      <c r="K980" s="134"/>
      <c r="L980" s="111"/>
      <c r="M980" s="134"/>
      <c r="N980" s="134"/>
      <c r="O980" s="111"/>
      <c r="P980" s="111"/>
      <c r="Q980" s="139"/>
      <c r="R980" s="113"/>
      <c r="S980" s="113"/>
      <c r="T980" s="113"/>
      <c r="U980" s="114"/>
      <c r="V980" s="115"/>
      <c r="W980" s="116"/>
      <c r="X980" s="117"/>
      <c r="Y980" s="111"/>
      <c r="Z980" s="111"/>
      <c r="AH980" s="5"/>
      <c r="AI980" s="5"/>
      <c r="AJ980" s="5"/>
      <c r="AK980" s="5"/>
      <c r="AL980" s="5"/>
      <c r="AM980" s="5"/>
      <c r="AN980" s="5"/>
    </row>
    <row r="981" spans="1:40">
      <c r="A981" s="111"/>
      <c r="B981" s="111"/>
      <c r="C981" s="5"/>
      <c r="D981" s="111"/>
      <c r="E981" s="111"/>
      <c r="F981" s="111"/>
      <c r="G981" s="111"/>
      <c r="H981" s="111"/>
      <c r="I981" s="111"/>
      <c r="J981" s="111"/>
      <c r="K981" s="134"/>
      <c r="L981" s="111"/>
      <c r="M981" s="134"/>
      <c r="N981" s="134"/>
      <c r="O981" s="111"/>
      <c r="P981" s="111"/>
      <c r="Q981" s="139"/>
      <c r="R981" s="113"/>
      <c r="S981" s="113"/>
      <c r="T981" s="113"/>
      <c r="U981" s="114"/>
      <c r="V981" s="115"/>
      <c r="W981" s="116"/>
      <c r="X981" s="117"/>
      <c r="Y981" s="111"/>
      <c r="Z981" s="111"/>
      <c r="AH981" s="5"/>
      <c r="AI981" s="5"/>
      <c r="AJ981" s="5"/>
      <c r="AK981" s="5"/>
      <c r="AL981" s="5"/>
      <c r="AM981" s="5"/>
      <c r="AN981" s="5"/>
    </row>
    <row r="982" spans="1:40">
      <c r="A982" s="111"/>
      <c r="B982" s="111"/>
      <c r="C982" s="5"/>
      <c r="D982" s="111"/>
      <c r="E982" s="111"/>
      <c r="F982" s="111"/>
      <c r="G982" s="111"/>
      <c r="H982" s="111"/>
      <c r="I982" s="111"/>
      <c r="J982" s="111"/>
      <c r="K982" s="134"/>
      <c r="L982" s="111"/>
      <c r="M982" s="134"/>
      <c r="N982" s="134"/>
      <c r="O982" s="111"/>
      <c r="P982" s="111"/>
      <c r="Q982" s="139"/>
      <c r="R982" s="113"/>
      <c r="S982" s="113"/>
      <c r="T982" s="113"/>
      <c r="U982" s="114"/>
      <c r="V982" s="115"/>
      <c r="W982" s="116"/>
      <c r="X982" s="117"/>
      <c r="Y982" s="111"/>
      <c r="Z982" s="111"/>
      <c r="AH982" s="5"/>
      <c r="AI982" s="5"/>
      <c r="AJ982" s="5"/>
      <c r="AK982" s="5"/>
      <c r="AL982" s="5"/>
      <c r="AM982" s="5"/>
      <c r="AN982" s="5"/>
    </row>
    <row r="983" spans="1:40">
      <c r="A983" s="111"/>
      <c r="B983" s="111"/>
      <c r="C983" s="5"/>
      <c r="D983" s="111"/>
      <c r="E983" s="111"/>
      <c r="F983" s="111"/>
      <c r="G983" s="111"/>
      <c r="H983" s="111"/>
      <c r="I983" s="111"/>
      <c r="J983" s="111"/>
      <c r="K983" s="134"/>
      <c r="L983" s="111"/>
      <c r="M983" s="134"/>
      <c r="N983" s="134"/>
      <c r="O983" s="111"/>
      <c r="P983" s="111"/>
      <c r="Q983" s="139"/>
      <c r="R983" s="113"/>
      <c r="S983" s="113"/>
      <c r="T983" s="113"/>
      <c r="U983" s="114"/>
      <c r="V983" s="115"/>
      <c r="W983" s="116"/>
      <c r="X983" s="117"/>
      <c r="Y983" s="111"/>
      <c r="Z983" s="111"/>
      <c r="AH983" s="5"/>
      <c r="AI983" s="5"/>
      <c r="AJ983" s="5"/>
      <c r="AK983" s="5"/>
      <c r="AL983" s="5"/>
      <c r="AM983" s="5"/>
      <c r="AN983" s="5"/>
    </row>
    <row r="984" spans="1:40">
      <c r="A984" s="111"/>
      <c r="B984" s="111"/>
      <c r="C984" s="5"/>
      <c r="D984" s="111"/>
      <c r="E984" s="111"/>
      <c r="F984" s="111"/>
      <c r="G984" s="111"/>
      <c r="H984" s="111"/>
      <c r="I984" s="111"/>
      <c r="J984" s="111"/>
      <c r="K984" s="134"/>
      <c r="L984" s="111"/>
      <c r="M984" s="134"/>
      <c r="N984" s="134"/>
      <c r="O984" s="111"/>
      <c r="P984" s="111"/>
      <c r="Q984" s="139"/>
      <c r="R984" s="113"/>
      <c r="S984" s="113"/>
      <c r="T984" s="113"/>
      <c r="U984" s="114"/>
      <c r="V984" s="115"/>
      <c r="W984" s="116"/>
      <c r="X984" s="117"/>
      <c r="Y984" s="111"/>
      <c r="Z984" s="111"/>
      <c r="AH984" s="5"/>
      <c r="AI984" s="5"/>
      <c r="AJ984" s="5"/>
      <c r="AK984" s="5"/>
      <c r="AL984" s="5"/>
      <c r="AM984" s="5"/>
      <c r="AN984" s="5"/>
    </row>
    <row r="985" spans="1:40">
      <c r="A985" s="111"/>
      <c r="B985" s="111"/>
      <c r="C985" s="5"/>
      <c r="D985" s="111"/>
      <c r="E985" s="111"/>
      <c r="F985" s="111"/>
      <c r="G985" s="111"/>
      <c r="H985" s="111"/>
      <c r="I985" s="111"/>
      <c r="J985" s="111"/>
      <c r="K985" s="134"/>
      <c r="L985" s="111"/>
      <c r="M985" s="134"/>
      <c r="N985" s="134"/>
      <c r="O985" s="111"/>
      <c r="P985" s="111"/>
      <c r="Q985" s="139"/>
      <c r="R985" s="113"/>
      <c r="S985" s="113"/>
      <c r="T985" s="113"/>
      <c r="U985" s="114"/>
      <c r="V985" s="115"/>
      <c r="W985" s="116"/>
      <c r="X985" s="117"/>
      <c r="Y985" s="111"/>
      <c r="Z985" s="111"/>
      <c r="AH985" s="5"/>
      <c r="AI985" s="5"/>
      <c r="AJ985" s="5"/>
      <c r="AK985" s="5"/>
      <c r="AL985" s="5"/>
      <c r="AM985" s="5"/>
      <c r="AN985" s="5"/>
    </row>
    <row r="986" spans="1:40">
      <c r="A986" s="111"/>
      <c r="B986" s="111"/>
      <c r="C986" s="5"/>
      <c r="D986" s="111"/>
      <c r="E986" s="111"/>
      <c r="F986" s="111"/>
      <c r="G986" s="111"/>
      <c r="H986" s="111"/>
      <c r="I986" s="111"/>
      <c r="J986" s="111"/>
      <c r="K986" s="134"/>
      <c r="L986" s="111"/>
      <c r="M986" s="134"/>
      <c r="N986" s="134"/>
      <c r="O986" s="111"/>
      <c r="P986" s="111"/>
      <c r="Q986" s="139"/>
      <c r="R986" s="113"/>
      <c r="S986" s="113"/>
      <c r="T986" s="113"/>
      <c r="U986" s="114"/>
      <c r="V986" s="115"/>
      <c r="W986" s="116"/>
      <c r="X986" s="117"/>
      <c r="Y986" s="111"/>
      <c r="Z986" s="111"/>
      <c r="AH986" s="5"/>
      <c r="AI986" s="5"/>
      <c r="AJ986" s="5"/>
      <c r="AK986" s="5"/>
      <c r="AL986" s="5"/>
      <c r="AM986" s="5"/>
      <c r="AN986" s="5"/>
    </row>
    <row r="987" spans="1:40">
      <c r="A987" s="111"/>
      <c r="B987" s="111"/>
      <c r="C987" s="5"/>
      <c r="D987" s="111"/>
      <c r="E987" s="111"/>
      <c r="F987" s="111"/>
      <c r="G987" s="111"/>
      <c r="H987" s="111"/>
      <c r="I987" s="111"/>
      <c r="J987" s="111"/>
      <c r="K987" s="134"/>
      <c r="L987" s="111"/>
      <c r="M987" s="134"/>
      <c r="N987" s="134"/>
      <c r="O987" s="111"/>
      <c r="P987" s="111"/>
      <c r="Q987" s="139"/>
      <c r="R987" s="113"/>
      <c r="S987" s="113"/>
      <c r="T987" s="113"/>
      <c r="U987" s="114"/>
      <c r="V987" s="115"/>
      <c r="W987" s="116"/>
      <c r="X987" s="117"/>
      <c r="Y987" s="111"/>
      <c r="Z987" s="111"/>
      <c r="AH987" s="5"/>
      <c r="AI987" s="5"/>
      <c r="AJ987" s="5"/>
      <c r="AK987" s="5"/>
      <c r="AL987" s="5"/>
      <c r="AM987" s="5"/>
      <c r="AN987" s="5"/>
    </row>
    <row r="988" spans="1:40">
      <c r="A988" s="111"/>
      <c r="B988" s="111"/>
      <c r="C988" s="5"/>
      <c r="D988" s="111"/>
      <c r="E988" s="111"/>
      <c r="F988" s="111"/>
      <c r="G988" s="111"/>
      <c r="H988" s="111"/>
      <c r="I988" s="111"/>
      <c r="J988" s="111"/>
      <c r="K988" s="134"/>
      <c r="L988" s="111"/>
      <c r="M988" s="134"/>
      <c r="N988" s="134"/>
      <c r="O988" s="111"/>
      <c r="P988" s="111"/>
      <c r="Q988" s="139"/>
      <c r="R988" s="113"/>
      <c r="S988" s="113"/>
      <c r="T988" s="113"/>
      <c r="U988" s="114"/>
      <c r="V988" s="115"/>
      <c r="W988" s="116"/>
      <c r="X988" s="117"/>
      <c r="Y988" s="111"/>
      <c r="Z988" s="111"/>
      <c r="AH988" s="5"/>
      <c r="AI988" s="5"/>
      <c r="AJ988" s="5"/>
      <c r="AK988" s="5"/>
      <c r="AL988" s="5"/>
      <c r="AM988" s="5"/>
      <c r="AN988" s="5"/>
    </row>
    <row r="989" spans="1:40">
      <c r="A989" s="111"/>
      <c r="B989" s="111"/>
      <c r="C989" s="5"/>
      <c r="D989" s="111"/>
      <c r="E989" s="111"/>
      <c r="F989" s="111"/>
      <c r="G989" s="111"/>
      <c r="H989" s="111"/>
      <c r="I989" s="111"/>
      <c r="J989" s="111"/>
      <c r="K989" s="134"/>
      <c r="L989" s="111"/>
      <c r="M989" s="134"/>
      <c r="N989" s="134"/>
      <c r="O989" s="111"/>
      <c r="P989" s="111"/>
      <c r="Q989" s="139"/>
      <c r="R989" s="113"/>
      <c r="S989" s="113"/>
      <c r="T989" s="113"/>
      <c r="U989" s="114"/>
      <c r="V989" s="115"/>
      <c r="W989" s="116"/>
      <c r="X989" s="117"/>
      <c r="Y989" s="111"/>
      <c r="Z989" s="111"/>
      <c r="AH989" s="5"/>
      <c r="AI989" s="5"/>
      <c r="AJ989" s="5"/>
      <c r="AK989" s="5"/>
      <c r="AL989" s="5"/>
      <c r="AM989" s="5"/>
      <c r="AN989" s="5"/>
    </row>
    <row r="990" spans="1:40">
      <c r="A990" s="111"/>
      <c r="B990" s="111"/>
      <c r="C990" s="5"/>
      <c r="D990" s="111"/>
      <c r="E990" s="111"/>
      <c r="F990" s="111"/>
      <c r="G990" s="111"/>
      <c r="H990" s="111"/>
      <c r="I990" s="111"/>
      <c r="J990" s="111"/>
      <c r="K990" s="134"/>
      <c r="L990" s="111"/>
      <c r="M990" s="134"/>
      <c r="N990" s="134"/>
      <c r="O990" s="111"/>
      <c r="P990" s="111"/>
      <c r="Q990" s="139"/>
      <c r="R990" s="113"/>
      <c r="S990" s="113"/>
      <c r="T990" s="113"/>
      <c r="U990" s="114"/>
      <c r="V990" s="115"/>
      <c r="W990" s="116"/>
      <c r="X990" s="117"/>
      <c r="Y990" s="111"/>
      <c r="Z990" s="111"/>
      <c r="AH990" s="5"/>
      <c r="AI990" s="5"/>
      <c r="AJ990" s="5"/>
      <c r="AK990" s="5"/>
      <c r="AL990" s="5"/>
      <c r="AM990" s="5"/>
      <c r="AN990" s="5"/>
    </row>
    <row r="991" spans="1:40">
      <c r="A991" s="111"/>
      <c r="B991" s="111"/>
      <c r="C991" s="5"/>
      <c r="D991" s="111"/>
      <c r="E991" s="111"/>
      <c r="F991" s="111"/>
      <c r="G991" s="111"/>
      <c r="H991" s="111"/>
      <c r="I991" s="111"/>
      <c r="J991" s="111"/>
      <c r="K991" s="134"/>
      <c r="L991" s="111"/>
      <c r="M991" s="134"/>
      <c r="N991" s="134"/>
      <c r="O991" s="111"/>
      <c r="P991" s="111"/>
      <c r="Q991" s="139"/>
      <c r="R991" s="113"/>
      <c r="S991" s="113"/>
      <c r="T991" s="113"/>
      <c r="U991" s="114"/>
      <c r="V991" s="115"/>
      <c r="W991" s="116"/>
      <c r="X991" s="117"/>
      <c r="Y991" s="111"/>
      <c r="Z991" s="111"/>
      <c r="AH991" s="5"/>
      <c r="AI991" s="5"/>
      <c r="AJ991" s="5"/>
      <c r="AK991" s="5"/>
      <c r="AL991" s="5"/>
      <c r="AM991" s="5"/>
      <c r="AN991" s="5"/>
    </row>
    <row r="992" spans="1:40">
      <c r="A992" s="111"/>
      <c r="B992" s="111"/>
      <c r="C992" s="5"/>
      <c r="D992" s="111"/>
      <c r="E992" s="111"/>
      <c r="F992" s="111"/>
      <c r="G992" s="111"/>
      <c r="H992" s="111"/>
      <c r="I992" s="111"/>
      <c r="J992" s="111"/>
      <c r="K992" s="134"/>
      <c r="L992" s="111"/>
      <c r="M992" s="134"/>
      <c r="N992" s="134"/>
      <c r="O992" s="111"/>
      <c r="P992" s="111"/>
      <c r="Q992" s="139"/>
      <c r="R992" s="113"/>
      <c r="S992" s="113"/>
      <c r="T992" s="113"/>
      <c r="U992" s="114"/>
      <c r="V992" s="115"/>
      <c r="W992" s="116"/>
      <c r="X992" s="117"/>
      <c r="Y992" s="111"/>
      <c r="Z992" s="111"/>
      <c r="AH992" s="5"/>
      <c r="AI992" s="5"/>
      <c r="AJ992" s="5"/>
      <c r="AK992" s="5"/>
      <c r="AL992" s="5"/>
      <c r="AM992" s="5"/>
      <c r="AN992" s="5"/>
    </row>
    <row r="993" spans="1:40">
      <c r="A993" s="111"/>
      <c r="B993" s="111"/>
      <c r="C993" s="5"/>
      <c r="D993" s="111"/>
      <c r="E993" s="111"/>
      <c r="F993" s="111"/>
      <c r="G993" s="111"/>
      <c r="H993" s="111"/>
      <c r="I993" s="111"/>
      <c r="J993" s="111"/>
      <c r="K993" s="134"/>
      <c r="L993" s="111"/>
      <c r="M993" s="134"/>
      <c r="N993" s="134"/>
      <c r="O993" s="111"/>
      <c r="P993" s="111"/>
      <c r="Q993" s="139"/>
      <c r="R993" s="113"/>
      <c r="S993" s="113"/>
      <c r="T993" s="113"/>
      <c r="U993" s="114"/>
      <c r="V993" s="115"/>
      <c r="W993" s="116"/>
      <c r="X993" s="117"/>
      <c r="Y993" s="111"/>
      <c r="Z993" s="111"/>
      <c r="AH993" s="5"/>
      <c r="AI993" s="5"/>
      <c r="AJ993" s="5"/>
      <c r="AK993" s="5"/>
      <c r="AL993" s="5"/>
      <c r="AM993" s="5"/>
      <c r="AN993" s="5"/>
    </row>
    <row r="994" spans="1:40">
      <c r="A994" s="111"/>
      <c r="B994" s="111"/>
      <c r="C994" s="5"/>
      <c r="D994" s="111"/>
      <c r="E994" s="111"/>
      <c r="F994" s="111"/>
      <c r="G994" s="111"/>
      <c r="H994" s="111"/>
      <c r="I994" s="111"/>
      <c r="J994" s="111"/>
      <c r="K994" s="134"/>
      <c r="L994" s="111"/>
      <c r="M994" s="134"/>
      <c r="N994" s="134"/>
      <c r="O994" s="111"/>
      <c r="P994" s="111"/>
      <c r="Q994" s="139"/>
      <c r="R994" s="113"/>
      <c r="S994" s="113"/>
      <c r="T994" s="113"/>
      <c r="U994" s="114"/>
      <c r="V994" s="115"/>
      <c r="W994" s="116"/>
      <c r="X994" s="117"/>
      <c r="Y994" s="111"/>
      <c r="Z994" s="111"/>
      <c r="AH994" s="5"/>
      <c r="AI994" s="5"/>
      <c r="AJ994" s="5"/>
      <c r="AK994" s="5"/>
      <c r="AL994" s="5"/>
      <c r="AM994" s="5"/>
      <c r="AN994" s="5"/>
    </row>
    <row r="995" spans="1:40">
      <c r="A995" s="111"/>
      <c r="B995" s="111"/>
      <c r="C995" s="5"/>
      <c r="D995" s="111"/>
      <c r="E995" s="111"/>
      <c r="F995" s="111"/>
      <c r="G995" s="111"/>
      <c r="H995" s="111"/>
      <c r="I995" s="111"/>
      <c r="J995" s="111"/>
      <c r="K995" s="134"/>
      <c r="L995" s="111"/>
      <c r="M995" s="134"/>
      <c r="N995" s="134"/>
      <c r="O995" s="111"/>
      <c r="P995" s="111"/>
      <c r="Q995" s="139"/>
      <c r="R995" s="113"/>
      <c r="S995" s="113"/>
      <c r="T995" s="113"/>
      <c r="U995" s="114"/>
      <c r="V995" s="115"/>
      <c r="W995" s="116"/>
      <c r="X995" s="117"/>
      <c r="Y995" s="111"/>
      <c r="Z995" s="111"/>
      <c r="AH995" s="5"/>
      <c r="AI995" s="5"/>
      <c r="AJ995" s="5"/>
      <c r="AK995" s="5"/>
      <c r="AL995" s="5"/>
      <c r="AM995" s="5"/>
      <c r="AN995" s="5"/>
    </row>
    <row r="996" spans="1:40">
      <c r="A996" s="111"/>
      <c r="B996" s="111"/>
      <c r="C996" s="5"/>
      <c r="D996" s="111"/>
      <c r="E996" s="111"/>
      <c r="F996" s="111"/>
      <c r="G996" s="111"/>
      <c r="H996" s="111"/>
      <c r="I996" s="111"/>
      <c r="J996" s="111"/>
      <c r="K996" s="134"/>
      <c r="L996" s="111"/>
      <c r="M996" s="134"/>
      <c r="N996" s="134"/>
      <c r="O996" s="111"/>
      <c r="P996" s="111"/>
      <c r="Q996" s="139"/>
      <c r="R996" s="113"/>
      <c r="S996" s="113"/>
      <c r="T996" s="113"/>
      <c r="U996" s="114"/>
      <c r="V996" s="115"/>
      <c r="W996" s="116"/>
      <c r="X996" s="117"/>
      <c r="Y996" s="111"/>
      <c r="Z996" s="111"/>
      <c r="AH996" s="5"/>
      <c r="AI996" s="5"/>
      <c r="AJ996" s="5"/>
      <c r="AK996" s="5"/>
      <c r="AL996" s="5"/>
      <c r="AM996" s="5"/>
      <c r="AN996" s="5"/>
    </row>
    <row r="997" spans="1:40">
      <c r="A997" s="111"/>
      <c r="B997" s="111"/>
      <c r="C997" s="5"/>
      <c r="D997" s="111"/>
      <c r="E997" s="111"/>
      <c r="F997" s="111"/>
      <c r="G997" s="111"/>
      <c r="H997" s="111"/>
      <c r="I997" s="111"/>
      <c r="J997" s="111"/>
      <c r="K997" s="134"/>
      <c r="L997" s="111"/>
      <c r="M997" s="134"/>
      <c r="N997" s="134"/>
      <c r="O997" s="111"/>
      <c r="P997" s="111"/>
      <c r="Q997" s="139"/>
      <c r="R997" s="113"/>
      <c r="S997" s="113"/>
      <c r="T997" s="113"/>
      <c r="U997" s="114"/>
      <c r="V997" s="115"/>
      <c r="W997" s="116"/>
      <c r="X997" s="117"/>
      <c r="Y997" s="111"/>
      <c r="Z997" s="111"/>
      <c r="AH997" s="5"/>
      <c r="AI997" s="5"/>
      <c r="AJ997" s="5"/>
      <c r="AK997" s="5"/>
      <c r="AL997" s="5"/>
      <c r="AM997" s="5"/>
      <c r="AN997" s="5"/>
    </row>
    <row r="998" spans="1:40">
      <c r="A998" s="111"/>
      <c r="B998" s="111"/>
      <c r="C998" s="5"/>
      <c r="D998" s="111"/>
      <c r="E998" s="111"/>
      <c r="F998" s="111"/>
      <c r="G998" s="111"/>
      <c r="H998" s="111"/>
      <c r="I998" s="111"/>
      <c r="J998" s="111"/>
      <c r="K998" s="134"/>
      <c r="L998" s="111"/>
      <c r="M998" s="134"/>
      <c r="N998" s="134"/>
      <c r="O998" s="111"/>
      <c r="P998" s="111"/>
      <c r="Q998" s="139"/>
      <c r="R998" s="113"/>
      <c r="S998" s="113"/>
      <c r="T998" s="113"/>
      <c r="U998" s="114"/>
      <c r="V998" s="115"/>
      <c r="W998" s="116"/>
      <c r="X998" s="117"/>
      <c r="Y998" s="111"/>
      <c r="Z998" s="111"/>
      <c r="AH998" s="5"/>
      <c r="AI998" s="5"/>
      <c r="AJ998" s="5"/>
      <c r="AK998" s="5"/>
      <c r="AL998" s="5"/>
      <c r="AM998" s="5"/>
      <c r="AN998" s="5"/>
    </row>
    <row r="999" spans="1:40">
      <c r="A999" s="111"/>
      <c r="B999" s="111"/>
      <c r="C999" s="5"/>
      <c r="D999" s="111"/>
      <c r="E999" s="111"/>
      <c r="F999" s="111"/>
      <c r="G999" s="111"/>
      <c r="H999" s="111"/>
      <c r="I999" s="111"/>
      <c r="J999" s="111"/>
      <c r="K999" s="134"/>
      <c r="L999" s="111"/>
      <c r="M999" s="134"/>
      <c r="N999" s="134"/>
      <c r="O999" s="111"/>
      <c r="P999" s="111"/>
      <c r="Q999" s="139"/>
      <c r="R999" s="113"/>
      <c r="S999" s="113"/>
      <c r="T999" s="113"/>
      <c r="U999" s="114"/>
      <c r="V999" s="115"/>
      <c r="W999" s="116"/>
      <c r="X999" s="117"/>
      <c r="Y999" s="111"/>
      <c r="Z999" s="111"/>
      <c r="AH999" s="5"/>
      <c r="AI999" s="5"/>
      <c r="AJ999" s="5"/>
      <c r="AK999" s="5"/>
      <c r="AL999" s="5"/>
      <c r="AM999" s="5"/>
      <c r="AN999" s="5"/>
    </row>
    <row r="1000" spans="1:40">
      <c r="A1000" s="111"/>
      <c r="B1000" s="111"/>
      <c r="C1000" s="5"/>
      <c r="D1000" s="111"/>
      <c r="E1000" s="111"/>
      <c r="F1000" s="111"/>
      <c r="G1000" s="111"/>
      <c r="H1000" s="111"/>
      <c r="I1000" s="111"/>
      <c r="J1000" s="111"/>
      <c r="K1000" s="134"/>
      <c r="L1000" s="111"/>
      <c r="M1000" s="134"/>
      <c r="N1000" s="134"/>
      <c r="O1000" s="111"/>
      <c r="P1000" s="111"/>
      <c r="Q1000" s="139"/>
      <c r="R1000" s="113"/>
      <c r="S1000" s="113"/>
      <c r="T1000" s="113"/>
      <c r="U1000" s="114"/>
      <c r="V1000" s="115"/>
      <c r="W1000" s="116"/>
      <c r="X1000" s="117"/>
      <c r="Y1000" s="111"/>
      <c r="Z1000" s="111"/>
      <c r="AH1000" s="5"/>
      <c r="AI1000" s="5"/>
      <c r="AJ1000" s="5"/>
      <c r="AK1000" s="5"/>
      <c r="AL1000" s="5"/>
      <c r="AM1000" s="5"/>
      <c r="AN1000" s="5"/>
    </row>
    <row r="1001" spans="1:40">
      <c r="A1001" s="111"/>
      <c r="B1001" s="111"/>
      <c r="C1001" s="5"/>
      <c r="D1001" s="111"/>
      <c r="E1001" s="111"/>
      <c r="F1001" s="111"/>
      <c r="G1001" s="111"/>
      <c r="H1001" s="111"/>
      <c r="I1001" s="111"/>
      <c r="J1001" s="111"/>
      <c r="K1001" s="134"/>
      <c r="L1001" s="111"/>
      <c r="M1001" s="134"/>
      <c r="N1001" s="134"/>
      <c r="O1001" s="111"/>
      <c r="P1001" s="111"/>
      <c r="Q1001" s="139"/>
      <c r="R1001" s="113"/>
      <c r="S1001" s="113"/>
      <c r="T1001" s="113"/>
      <c r="U1001" s="114"/>
      <c r="V1001" s="115"/>
      <c r="W1001" s="116"/>
      <c r="X1001" s="117"/>
      <c r="Y1001" s="111"/>
      <c r="Z1001" s="111"/>
      <c r="AH1001" s="5"/>
      <c r="AI1001" s="5"/>
      <c r="AJ1001" s="5"/>
      <c r="AK1001" s="5"/>
      <c r="AL1001" s="5"/>
      <c r="AM1001" s="5"/>
      <c r="AN1001" s="5"/>
    </row>
    <row r="1002" spans="1:40">
      <c r="A1002" s="111"/>
      <c r="B1002" s="111"/>
      <c r="C1002" s="5"/>
      <c r="D1002" s="111"/>
      <c r="E1002" s="111"/>
      <c r="F1002" s="111"/>
      <c r="G1002" s="111"/>
      <c r="H1002" s="111"/>
      <c r="I1002" s="111"/>
      <c r="J1002" s="111"/>
      <c r="K1002" s="134"/>
      <c r="L1002" s="111"/>
      <c r="M1002" s="134"/>
      <c r="N1002" s="134"/>
      <c r="O1002" s="111"/>
      <c r="P1002" s="111"/>
      <c r="Q1002" s="139"/>
      <c r="R1002" s="113"/>
      <c r="S1002" s="113"/>
      <c r="T1002" s="113"/>
      <c r="U1002" s="114"/>
      <c r="V1002" s="115"/>
      <c r="W1002" s="116"/>
      <c r="X1002" s="117"/>
      <c r="Y1002" s="111"/>
      <c r="Z1002" s="111"/>
      <c r="AH1002" s="5"/>
      <c r="AI1002" s="5"/>
      <c r="AJ1002" s="5"/>
      <c r="AK1002" s="5"/>
      <c r="AL1002" s="5"/>
      <c r="AM1002" s="5"/>
      <c r="AN1002" s="5"/>
    </row>
    <row r="1003" spans="1:40">
      <c r="A1003" s="111"/>
      <c r="B1003" s="111"/>
      <c r="C1003" s="5"/>
      <c r="D1003" s="111"/>
      <c r="E1003" s="111"/>
      <c r="F1003" s="111"/>
      <c r="G1003" s="111"/>
      <c r="H1003" s="111"/>
      <c r="I1003" s="111"/>
      <c r="J1003" s="111"/>
      <c r="K1003" s="134"/>
      <c r="L1003" s="111"/>
      <c r="M1003" s="134"/>
      <c r="N1003" s="134"/>
      <c r="O1003" s="111"/>
      <c r="P1003" s="111"/>
      <c r="Q1003" s="139"/>
      <c r="R1003" s="113"/>
      <c r="S1003" s="113"/>
      <c r="T1003" s="113"/>
      <c r="U1003" s="114"/>
      <c r="V1003" s="115"/>
      <c r="W1003" s="116"/>
      <c r="X1003" s="117"/>
      <c r="Y1003" s="111"/>
      <c r="Z1003" s="111"/>
      <c r="AH1003" s="5"/>
      <c r="AI1003" s="5"/>
      <c r="AJ1003" s="5"/>
      <c r="AK1003" s="5"/>
      <c r="AL1003" s="5"/>
      <c r="AM1003" s="5"/>
      <c r="AN1003" s="5"/>
    </row>
    <row r="1004" spans="1:40">
      <c r="A1004" s="111"/>
      <c r="B1004" s="111"/>
      <c r="C1004" s="5"/>
      <c r="D1004" s="111"/>
      <c r="E1004" s="111"/>
      <c r="F1004" s="111"/>
      <c r="G1004" s="111"/>
      <c r="H1004" s="111"/>
      <c r="I1004" s="111"/>
      <c r="J1004" s="111"/>
      <c r="K1004" s="134"/>
      <c r="L1004" s="111"/>
      <c r="M1004" s="134"/>
      <c r="N1004" s="134"/>
      <c r="O1004" s="111"/>
      <c r="P1004" s="111"/>
      <c r="Q1004" s="139"/>
      <c r="R1004" s="113"/>
      <c r="S1004" s="113"/>
      <c r="T1004" s="113"/>
      <c r="U1004" s="114"/>
      <c r="V1004" s="115"/>
      <c r="W1004" s="116"/>
      <c r="X1004" s="117"/>
      <c r="Y1004" s="111"/>
      <c r="Z1004" s="111"/>
      <c r="AH1004" s="5"/>
      <c r="AI1004" s="5"/>
      <c r="AJ1004" s="5"/>
      <c r="AK1004" s="5"/>
      <c r="AL1004" s="5"/>
      <c r="AM1004" s="5"/>
      <c r="AN1004" s="5"/>
    </row>
    <row r="1005" spans="1:40">
      <c r="A1005" s="111"/>
      <c r="B1005" s="111"/>
      <c r="C1005" s="111"/>
      <c r="D1005" s="111"/>
      <c r="E1005" s="111"/>
      <c r="F1005" s="111"/>
      <c r="G1005" s="111"/>
      <c r="H1005" s="111"/>
      <c r="I1005" s="111"/>
      <c r="J1005" s="111"/>
      <c r="K1005" s="111"/>
      <c r="L1005" s="111"/>
      <c r="M1005" s="111"/>
      <c r="N1005" s="111"/>
      <c r="O1005" s="111"/>
      <c r="P1005" s="111"/>
      <c r="Q1005" s="139"/>
      <c r="R1005" s="113"/>
      <c r="S1005" s="113"/>
      <c r="T1005" s="113"/>
      <c r="U1005" s="114"/>
      <c r="V1005" s="115"/>
      <c r="W1005" s="116"/>
      <c r="X1005" s="117"/>
      <c r="Y1005" s="111"/>
      <c r="Z1005" s="111"/>
      <c r="AH1005" s="5"/>
      <c r="AI1005" s="5"/>
      <c r="AJ1005" s="5"/>
      <c r="AK1005" s="5"/>
      <c r="AL1005" s="5"/>
      <c r="AM1005" s="5"/>
      <c r="AN1005" s="5"/>
    </row>
    <row r="1006" spans="1:40">
      <c r="A1006" s="111"/>
      <c r="B1006" s="111"/>
      <c r="C1006" s="111"/>
      <c r="D1006" s="111"/>
      <c r="E1006" s="111"/>
      <c r="F1006" s="111"/>
      <c r="G1006" s="111"/>
      <c r="H1006" s="111"/>
      <c r="I1006" s="111"/>
      <c r="J1006" s="111"/>
      <c r="K1006" s="111"/>
      <c r="L1006" s="111"/>
      <c r="M1006" s="111"/>
      <c r="N1006" s="111"/>
      <c r="O1006" s="111"/>
      <c r="P1006" s="111"/>
      <c r="Q1006" s="139"/>
      <c r="R1006" s="113"/>
      <c r="S1006" s="113"/>
      <c r="T1006" s="113"/>
      <c r="U1006" s="114"/>
      <c r="V1006" s="115"/>
      <c r="W1006" s="116"/>
      <c r="X1006" s="117"/>
      <c r="Y1006" s="111"/>
      <c r="Z1006" s="111"/>
      <c r="AH1006" s="5"/>
      <c r="AI1006" s="5"/>
      <c r="AJ1006" s="5"/>
      <c r="AK1006" s="5"/>
      <c r="AL1006" s="5"/>
      <c r="AM1006" s="5"/>
      <c r="AN1006" s="5"/>
    </row>
    <row r="1007" spans="1:40">
      <c r="A1007" s="111"/>
      <c r="B1007" s="111"/>
      <c r="C1007" s="111"/>
      <c r="D1007" s="111"/>
      <c r="E1007" s="111"/>
      <c r="F1007" s="111"/>
      <c r="G1007" s="111"/>
      <c r="H1007" s="111"/>
      <c r="I1007" s="111"/>
      <c r="J1007" s="111"/>
      <c r="K1007" s="111"/>
      <c r="L1007" s="111"/>
      <c r="M1007" s="111"/>
      <c r="N1007" s="111"/>
      <c r="O1007" s="111"/>
      <c r="P1007" s="111"/>
      <c r="Q1007" s="139"/>
      <c r="R1007" s="113"/>
      <c r="S1007" s="113"/>
      <c r="T1007" s="113"/>
      <c r="U1007" s="114"/>
      <c r="V1007" s="115"/>
      <c r="W1007" s="116"/>
      <c r="X1007" s="117"/>
      <c r="Y1007" s="111"/>
      <c r="Z1007" s="111"/>
      <c r="AH1007" s="5"/>
      <c r="AI1007" s="5"/>
      <c r="AJ1007" s="5"/>
      <c r="AK1007" s="5"/>
      <c r="AL1007" s="5"/>
      <c r="AM1007" s="5"/>
      <c r="AN1007" s="5"/>
    </row>
    <row r="1008" spans="1:40">
      <c r="A1008" s="111"/>
      <c r="B1008" s="111"/>
      <c r="C1008" s="111"/>
      <c r="D1008" s="111"/>
      <c r="E1008" s="111"/>
      <c r="F1008" s="111"/>
      <c r="G1008" s="111"/>
      <c r="H1008" s="111"/>
      <c r="I1008" s="111"/>
      <c r="J1008" s="111"/>
      <c r="K1008" s="111"/>
      <c r="L1008" s="111"/>
      <c r="M1008" s="111"/>
      <c r="N1008" s="111"/>
      <c r="O1008" s="111"/>
      <c r="P1008" s="111"/>
      <c r="Q1008" s="139"/>
      <c r="R1008" s="113"/>
      <c r="S1008" s="113"/>
      <c r="T1008" s="113"/>
      <c r="U1008" s="114"/>
      <c r="V1008" s="115"/>
      <c r="W1008" s="116"/>
      <c r="X1008" s="117"/>
      <c r="Y1008" s="111"/>
      <c r="Z1008" s="111"/>
      <c r="AH1008" s="5"/>
      <c r="AI1008" s="5"/>
      <c r="AJ1008" s="5"/>
      <c r="AK1008" s="5"/>
      <c r="AL1008" s="5"/>
      <c r="AM1008" s="5"/>
      <c r="AN1008" s="5"/>
    </row>
    <row r="1009" spans="1:40">
      <c r="A1009" s="111"/>
      <c r="B1009" s="111"/>
      <c r="C1009" s="111"/>
      <c r="D1009" s="111"/>
      <c r="E1009" s="111"/>
      <c r="F1009" s="111"/>
      <c r="G1009" s="111"/>
      <c r="H1009" s="111"/>
      <c r="I1009" s="111"/>
      <c r="J1009" s="111"/>
      <c r="K1009" s="111"/>
      <c r="L1009" s="111"/>
      <c r="M1009" s="111"/>
      <c r="N1009" s="111"/>
      <c r="O1009" s="111"/>
      <c r="P1009" s="111"/>
      <c r="Q1009" s="139"/>
      <c r="R1009" s="113"/>
      <c r="S1009" s="113"/>
      <c r="T1009" s="113"/>
      <c r="U1009" s="114"/>
      <c r="V1009" s="115"/>
      <c r="W1009" s="116"/>
      <c r="X1009" s="117"/>
      <c r="Y1009" s="111"/>
      <c r="Z1009" s="111"/>
      <c r="AH1009" s="5"/>
      <c r="AI1009" s="5"/>
      <c r="AJ1009" s="5"/>
      <c r="AK1009" s="5"/>
      <c r="AL1009" s="5"/>
      <c r="AM1009" s="5"/>
      <c r="AN1009" s="5"/>
    </row>
    <row r="1010" spans="1:40">
      <c r="A1010" s="111"/>
      <c r="B1010" s="111"/>
      <c r="C1010" s="111"/>
      <c r="D1010" s="111"/>
      <c r="E1010" s="111"/>
      <c r="F1010" s="111"/>
      <c r="G1010" s="111"/>
      <c r="H1010" s="111"/>
      <c r="I1010" s="111"/>
      <c r="J1010" s="111"/>
      <c r="K1010" s="111"/>
      <c r="L1010" s="111"/>
      <c r="M1010" s="111"/>
      <c r="N1010" s="111"/>
      <c r="O1010" s="111"/>
      <c r="P1010" s="111"/>
      <c r="Q1010" s="139"/>
      <c r="R1010" s="113"/>
      <c r="S1010" s="113"/>
      <c r="T1010" s="113"/>
      <c r="U1010" s="114"/>
      <c r="V1010" s="115"/>
      <c r="W1010" s="116"/>
      <c r="X1010" s="117"/>
      <c r="Y1010" s="111"/>
      <c r="Z1010" s="111"/>
      <c r="AH1010" s="5"/>
      <c r="AI1010" s="5"/>
      <c r="AJ1010" s="5"/>
      <c r="AK1010" s="5"/>
      <c r="AL1010" s="5"/>
      <c r="AM1010" s="5"/>
      <c r="AN1010" s="5"/>
    </row>
    <row r="1011" spans="1:40">
      <c r="A1011" s="111"/>
      <c r="B1011" s="111"/>
      <c r="C1011" s="111"/>
      <c r="D1011" s="111"/>
      <c r="E1011" s="111"/>
      <c r="F1011" s="111"/>
      <c r="G1011" s="111"/>
      <c r="H1011" s="111"/>
      <c r="I1011" s="111"/>
      <c r="J1011" s="111"/>
      <c r="K1011" s="111"/>
      <c r="L1011" s="111"/>
      <c r="M1011" s="111"/>
      <c r="N1011" s="111"/>
      <c r="O1011" s="111"/>
      <c r="P1011" s="111"/>
      <c r="Q1011" s="139"/>
      <c r="R1011" s="113"/>
      <c r="S1011" s="113"/>
      <c r="T1011" s="113"/>
      <c r="U1011" s="114"/>
      <c r="V1011" s="115"/>
      <c r="W1011" s="116"/>
      <c r="X1011" s="117"/>
      <c r="Y1011" s="111"/>
      <c r="Z1011" s="111"/>
      <c r="AH1011" s="5"/>
      <c r="AI1011" s="5"/>
      <c r="AJ1011" s="5"/>
      <c r="AK1011" s="5"/>
      <c r="AL1011" s="5"/>
      <c r="AM1011" s="5"/>
      <c r="AN1011" s="5"/>
    </row>
    <row r="1012" spans="1:40">
      <c r="A1012" s="111"/>
      <c r="B1012" s="111"/>
      <c r="C1012" s="111"/>
      <c r="D1012" s="111"/>
      <c r="E1012" s="111"/>
      <c r="F1012" s="111"/>
      <c r="G1012" s="111"/>
      <c r="H1012" s="111"/>
      <c r="I1012" s="111"/>
      <c r="J1012" s="111"/>
      <c r="K1012" s="111"/>
      <c r="L1012" s="111"/>
      <c r="M1012" s="111"/>
      <c r="N1012" s="111"/>
      <c r="O1012" s="111"/>
      <c r="P1012" s="111"/>
      <c r="Q1012" s="139"/>
      <c r="R1012" s="113"/>
      <c r="S1012" s="113"/>
      <c r="T1012" s="113"/>
      <c r="U1012" s="114"/>
      <c r="V1012" s="115"/>
      <c r="W1012" s="116"/>
      <c r="X1012" s="117"/>
      <c r="Y1012" s="111"/>
      <c r="Z1012" s="111"/>
      <c r="AH1012" s="5"/>
      <c r="AI1012" s="5"/>
      <c r="AJ1012" s="5"/>
      <c r="AK1012" s="5"/>
      <c r="AL1012" s="5"/>
      <c r="AM1012" s="5"/>
      <c r="AN1012" s="5"/>
    </row>
    <row r="1013" spans="1:40">
      <c r="A1013" s="111"/>
      <c r="B1013" s="111"/>
      <c r="C1013" s="111"/>
      <c r="D1013" s="111"/>
      <c r="E1013" s="111"/>
      <c r="F1013" s="111"/>
      <c r="G1013" s="111"/>
      <c r="H1013" s="111"/>
      <c r="I1013" s="111"/>
      <c r="J1013" s="111"/>
      <c r="K1013" s="111"/>
      <c r="L1013" s="111"/>
      <c r="M1013" s="111"/>
      <c r="N1013" s="111"/>
      <c r="O1013" s="111"/>
      <c r="P1013" s="111"/>
      <c r="Q1013" s="139"/>
      <c r="R1013" s="113"/>
      <c r="S1013" s="113"/>
      <c r="T1013" s="113"/>
      <c r="U1013" s="114"/>
      <c r="V1013" s="115"/>
      <c r="W1013" s="116"/>
      <c r="X1013" s="117"/>
      <c r="Y1013" s="111"/>
      <c r="Z1013" s="111"/>
      <c r="AH1013" s="5"/>
      <c r="AI1013" s="5"/>
      <c r="AJ1013" s="5"/>
      <c r="AK1013" s="5"/>
      <c r="AL1013" s="5"/>
      <c r="AM1013" s="5"/>
      <c r="AN1013" s="5"/>
    </row>
    <row r="1014" spans="1:40">
      <c r="A1014" s="111"/>
      <c r="B1014" s="111"/>
      <c r="C1014" s="111"/>
      <c r="D1014" s="111"/>
      <c r="E1014" s="111"/>
      <c r="F1014" s="111"/>
      <c r="G1014" s="111"/>
      <c r="H1014" s="111"/>
      <c r="I1014" s="111"/>
      <c r="J1014" s="111"/>
      <c r="K1014" s="111"/>
      <c r="L1014" s="111"/>
      <c r="M1014" s="111"/>
      <c r="N1014" s="111"/>
      <c r="O1014" s="111"/>
      <c r="P1014" s="111"/>
      <c r="Q1014" s="139"/>
      <c r="R1014" s="113"/>
      <c r="S1014" s="113"/>
      <c r="T1014" s="113"/>
      <c r="U1014" s="114"/>
      <c r="V1014" s="115"/>
      <c r="W1014" s="116"/>
      <c r="X1014" s="117"/>
      <c r="Y1014" s="111"/>
      <c r="Z1014" s="111"/>
      <c r="AH1014" s="5"/>
      <c r="AI1014" s="5"/>
      <c r="AJ1014" s="5"/>
      <c r="AK1014" s="5"/>
      <c r="AL1014" s="5"/>
      <c r="AM1014" s="5"/>
      <c r="AN1014" s="5"/>
    </row>
    <row r="1015" spans="1:40">
      <c r="A1015" s="111"/>
      <c r="B1015" s="111"/>
      <c r="C1015" s="111"/>
      <c r="D1015" s="111"/>
      <c r="E1015" s="111"/>
      <c r="F1015" s="111"/>
      <c r="G1015" s="111"/>
      <c r="H1015" s="111"/>
      <c r="I1015" s="111"/>
      <c r="J1015" s="111"/>
      <c r="K1015" s="111"/>
      <c r="L1015" s="111"/>
      <c r="M1015" s="111"/>
      <c r="N1015" s="111"/>
      <c r="O1015" s="111"/>
      <c r="P1015" s="111"/>
      <c r="Q1015" s="139"/>
      <c r="R1015" s="113"/>
      <c r="S1015" s="113"/>
      <c r="T1015" s="113"/>
      <c r="U1015" s="114"/>
      <c r="V1015" s="115"/>
      <c r="W1015" s="116"/>
      <c r="X1015" s="117"/>
      <c r="Y1015" s="111"/>
      <c r="Z1015" s="111"/>
      <c r="AH1015" s="5"/>
      <c r="AI1015" s="5"/>
      <c r="AJ1015" s="5"/>
      <c r="AK1015" s="5"/>
      <c r="AL1015" s="5"/>
      <c r="AM1015" s="5"/>
      <c r="AN1015" s="5"/>
    </row>
    <row r="1016" spans="1:40">
      <c r="A1016" s="111"/>
      <c r="B1016" s="111"/>
      <c r="C1016" s="111"/>
      <c r="D1016" s="111"/>
      <c r="E1016" s="111"/>
      <c r="F1016" s="111"/>
      <c r="G1016" s="111"/>
      <c r="H1016" s="111"/>
      <c r="I1016" s="111"/>
      <c r="J1016" s="111"/>
      <c r="K1016" s="111"/>
      <c r="L1016" s="111"/>
      <c r="M1016" s="111"/>
      <c r="N1016" s="111"/>
      <c r="O1016" s="111"/>
      <c r="P1016" s="111"/>
      <c r="Q1016" s="139"/>
      <c r="R1016" s="113"/>
      <c r="S1016" s="113"/>
      <c r="T1016" s="113"/>
      <c r="U1016" s="114"/>
      <c r="V1016" s="115"/>
      <c r="W1016" s="116"/>
      <c r="X1016" s="117"/>
      <c r="Y1016" s="111"/>
      <c r="Z1016" s="111"/>
      <c r="AH1016" s="5"/>
      <c r="AI1016" s="5"/>
      <c r="AJ1016" s="5"/>
      <c r="AK1016" s="5"/>
      <c r="AL1016" s="5"/>
      <c r="AM1016" s="5"/>
      <c r="AN1016" s="5"/>
    </row>
    <row r="1017" spans="1:40">
      <c r="A1017" s="111"/>
      <c r="B1017" s="111"/>
      <c r="C1017" s="111"/>
      <c r="D1017" s="111"/>
      <c r="E1017" s="111"/>
      <c r="F1017" s="111"/>
      <c r="G1017" s="111"/>
      <c r="H1017" s="111"/>
      <c r="I1017" s="111"/>
      <c r="J1017" s="111"/>
      <c r="K1017" s="111"/>
      <c r="L1017" s="111"/>
      <c r="M1017" s="111"/>
      <c r="N1017" s="111"/>
      <c r="O1017" s="111"/>
      <c r="P1017" s="111"/>
      <c r="Q1017" s="139"/>
      <c r="R1017" s="113"/>
      <c r="S1017" s="113"/>
      <c r="T1017" s="113"/>
      <c r="U1017" s="114"/>
      <c r="V1017" s="115"/>
      <c r="W1017" s="116"/>
      <c r="X1017" s="117"/>
      <c r="Y1017" s="111"/>
      <c r="Z1017" s="111"/>
      <c r="AH1017" s="5"/>
      <c r="AI1017" s="5"/>
      <c r="AJ1017" s="5"/>
      <c r="AK1017" s="5"/>
      <c r="AL1017" s="5"/>
      <c r="AM1017" s="5"/>
      <c r="AN1017" s="5"/>
    </row>
    <row r="1018" spans="1:40">
      <c r="A1018" s="111"/>
      <c r="B1018" s="111"/>
      <c r="C1018" s="111"/>
      <c r="D1018" s="111"/>
      <c r="E1018" s="111"/>
      <c r="F1018" s="111"/>
      <c r="G1018" s="111"/>
      <c r="H1018" s="111"/>
      <c r="I1018" s="111"/>
      <c r="J1018" s="111"/>
      <c r="K1018" s="111"/>
      <c r="L1018" s="111"/>
      <c r="M1018" s="111"/>
      <c r="N1018" s="111"/>
      <c r="O1018" s="111"/>
      <c r="P1018" s="111"/>
      <c r="Q1018" s="139"/>
      <c r="R1018" s="113"/>
      <c r="S1018" s="113"/>
      <c r="T1018" s="113"/>
      <c r="U1018" s="114"/>
      <c r="V1018" s="115"/>
      <c r="W1018" s="116"/>
      <c r="X1018" s="117"/>
      <c r="Y1018" s="111"/>
      <c r="Z1018" s="111"/>
      <c r="AH1018" s="5"/>
      <c r="AI1018" s="5"/>
      <c r="AJ1018" s="5"/>
      <c r="AK1018" s="5"/>
      <c r="AL1018" s="5"/>
      <c r="AM1018" s="5"/>
      <c r="AN1018" s="5"/>
    </row>
    <row r="1019" spans="1:40">
      <c r="A1019" s="111"/>
      <c r="B1019" s="111"/>
      <c r="C1019" s="111"/>
      <c r="D1019" s="111"/>
      <c r="E1019" s="111"/>
      <c r="F1019" s="111"/>
      <c r="G1019" s="111"/>
      <c r="H1019" s="111"/>
      <c r="I1019" s="111"/>
      <c r="J1019" s="111"/>
      <c r="K1019" s="111"/>
      <c r="L1019" s="111"/>
      <c r="M1019" s="111"/>
      <c r="N1019" s="111"/>
      <c r="O1019" s="111"/>
      <c r="P1019" s="111"/>
      <c r="Q1019" s="139"/>
      <c r="R1019" s="113"/>
      <c r="S1019" s="113"/>
      <c r="T1019" s="113"/>
      <c r="U1019" s="114"/>
      <c r="V1019" s="115"/>
      <c r="W1019" s="116"/>
      <c r="X1019" s="117"/>
      <c r="Y1019" s="111"/>
      <c r="Z1019" s="111"/>
      <c r="AH1019" s="5"/>
      <c r="AI1019" s="5"/>
      <c r="AJ1019" s="5"/>
      <c r="AK1019" s="5"/>
      <c r="AL1019" s="5"/>
      <c r="AM1019" s="5"/>
      <c r="AN1019" s="5"/>
    </row>
    <row r="1020" spans="1:40">
      <c r="A1020" s="111"/>
      <c r="B1020" s="111"/>
      <c r="C1020" s="111"/>
      <c r="D1020" s="111"/>
      <c r="E1020" s="111"/>
      <c r="F1020" s="111"/>
      <c r="G1020" s="111"/>
      <c r="H1020" s="111"/>
      <c r="I1020" s="111"/>
      <c r="J1020" s="111"/>
      <c r="K1020" s="111"/>
      <c r="L1020" s="111"/>
      <c r="M1020" s="111"/>
      <c r="N1020" s="111"/>
      <c r="O1020" s="111"/>
      <c r="P1020" s="111"/>
      <c r="Q1020" s="139"/>
      <c r="R1020" s="113"/>
      <c r="S1020" s="113"/>
      <c r="T1020" s="113"/>
      <c r="U1020" s="114"/>
      <c r="V1020" s="115"/>
      <c r="W1020" s="116"/>
      <c r="X1020" s="117"/>
      <c r="Y1020" s="111"/>
      <c r="Z1020" s="111"/>
      <c r="AH1020" s="5"/>
      <c r="AI1020" s="5"/>
      <c r="AJ1020" s="5"/>
      <c r="AK1020" s="5"/>
      <c r="AL1020" s="5"/>
      <c r="AM1020" s="5"/>
      <c r="AN1020" s="5"/>
    </row>
    <row r="1021" spans="1:40">
      <c r="A1021" s="111"/>
      <c r="B1021" s="111"/>
      <c r="C1021" s="111"/>
      <c r="D1021" s="111"/>
      <c r="E1021" s="111"/>
      <c r="F1021" s="111"/>
      <c r="G1021" s="111"/>
      <c r="H1021" s="111"/>
      <c r="I1021" s="111"/>
      <c r="J1021" s="111"/>
      <c r="K1021" s="111"/>
      <c r="L1021" s="111"/>
      <c r="M1021" s="111"/>
      <c r="N1021" s="111"/>
      <c r="O1021" s="111"/>
      <c r="P1021" s="111"/>
      <c r="Q1021" s="139"/>
      <c r="R1021" s="113"/>
      <c r="S1021" s="113"/>
      <c r="T1021" s="113"/>
      <c r="U1021" s="114"/>
      <c r="V1021" s="115"/>
      <c r="W1021" s="116"/>
      <c r="X1021" s="117"/>
      <c r="Y1021" s="111"/>
      <c r="Z1021" s="111"/>
      <c r="AH1021" s="5"/>
      <c r="AI1021" s="5"/>
      <c r="AJ1021" s="5"/>
      <c r="AK1021" s="5"/>
      <c r="AL1021" s="5"/>
      <c r="AM1021" s="5"/>
      <c r="AN1021" s="5"/>
    </row>
    <row r="1022" spans="1:40">
      <c r="A1022" s="111"/>
      <c r="B1022" s="111"/>
      <c r="C1022" s="111"/>
      <c r="D1022" s="111"/>
      <c r="E1022" s="111"/>
      <c r="F1022" s="111"/>
      <c r="G1022" s="111"/>
      <c r="H1022" s="111"/>
      <c r="I1022" s="111"/>
      <c r="J1022" s="111"/>
      <c r="K1022" s="111"/>
      <c r="L1022" s="111"/>
      <c r="M1022" s="111"/>
      <c r="N1022" s="111"/>
      <c r="O1022" s="111"/>
      <c r="P1022" s="111"/>
      <c r="Q1022" s="139"/>
      <c r="R1022" s="113"/>
      <c r="S1022" s="113"/>
      <c r="T1022" s="113"/>
      <c r="U1022" s="114"/>
      <c r="V1022" s="115"/>
      <c r="W1022" s="116"/>
      <c r="X1022" s="117"/>
      <c r="Y1022" s="111"/>
      <c r="Z1022" s="111"/>
      <c r="AH1022" s="5"/>
      <c r="AI1022" s="5"/>
      <c r="AJ1022" s="5"/>
      <c r="AK1022" s="5"/>
      <c r="AL1022" s="5"/>
      <c r="AM1022" s="5"/>
      <c r="AN1022" s="5"/>
    </row>
    <row r="1023" spans="1:40">
      <c r="A1023" s="111"/>
      <c r="B1023" s="111"/>
      <c r="C1023" s="111"/>
      <c r="D1023" s="111"/>
      <c r="E1023" s="111"/>
      <c r="F1023" s="111"/>
      <c r="G1023" s="111"/>
      <c r="H1023" s="111"/>
      <c r="I1023" s="111"/>
      <c r="J1023" s="111"/>
      <c r="K1023" s="111"/>
      <c r="L1023" s="111"/>
      <c r="M1023" s="111"/>
      <c r="N1023" s="111"/>
      <c r="O1023" s="111"/>
      <c r="P1023" s="111"/>
      <c r="Q1023" s="139"/>
      <c r="R1023" s="113"/>
      <c r="S1023" s="113"/>
      <c r="T1023" s="113"/>
      <c r="U1023" s="114"/>
      <c r="V1023" s="115"/>
      <c r="W1023" s="116"/>
      <c r="X1023" s="117"/>
      <c r="Y1023" s="111"/>
      <c r="Z1023" s="111"/>
      <c r="AH1023" s="5"/>
      <c r="AI1023" s="5"/>
      <c r="AJ1023" s="5"/>
      <c r="AK1023" s="5"/>
      <c r="AL1023" s="5"/>
      <c r="AM1023" s="5"/>
      <c r="AN1023" s="5"/>
    </row>
    <row r="1024" spans="1:40">
      <c r="A1024" s="111"/>
      <c r="B1024" s="111"/>
      <c r="C1024" s="111"/>
      <c r="D1024" s="111"/>
      <c r="E1024" s="111"/>
      <c r="F1024" s="111"/>
      <c r="G1024" s="111"/>
      <c r="H1024" s="111"/>
      <c r="I1024" s="111"/>
      <c r="J1024" s="111"/>
      <c r="K1024" s="111"/>
      <c r="L1024" s="111"/>
      <c r="M1024" s="111"/>
      <c r="N1024" s="111"/>
      <c r="O1024" s="111"/>
      <c r="P1024" s="111"/>
      <c r="Q1024" s="139"/>
      <c r="R1024" s="113"/>
      <c r="S1024" s="113"/>
      <c r="T1024" s="113"/>
      <c r="U1024" s="114"/>
      <c r="V1024" s="115"/>
      <c r="W1024" s="116"/>
      <c r="X1024" s="117"/>
      <c r="Y1024" s="111"/>
      <c r="Z1024" s="111"/>
      <c r="AH1024" s="5"/>
      <c r="AI1024" s="5"/>
      <c r="AJ1024" s="5"/>
      <c r="AK1024" s="5"/>
      <c r="AL1024" s="5"/>
      <c r="AM1024" s="5"/>
      <c r="AN1024" s="5"/>
    </row>
    <row r="1025" spans="1:40">
      <c r="A1025" s="111"/>
      <c r="B1025" s="111"/>
      <c r="C1025" s="111"/>
      <c r="D1025" s="111"/>
      <c r="E1025" s="111"/>
      <c r="F1025" s="111"/>
      <c r="G1025" s="111"/>
      <c r="H1025" s="111"/>
      <c r="I1025" s="111"/>
      <c r="J1025" s="111"/>
      <c r="K1025" s="111"/>
      <c r="L1025" s="111"/>
      <c r="M1025" s="111"/>
      <c r="N1025" s="111"/>
      <c r="O1025" s="111"/>
      <c r="P1025" s="111"/>
      <c r="Q1025" s="139"/>
      <c r="R1025" s="113"/>
      <c r="S1025" s="113"/>
      <c r="T1025" s="113"/>
      <c r="U1025" s="114"/>
      <c r="V1025" s="115"/>
      <c r="W1025" s="116"/>
      <c r="X1025" s="117"/>
      <c r="Y1025" s="111"/>
      <c r="Z1025" s="111"/>
      <c r="AH1025" s="5"/>
      <c r="AI1025" s="5"/>
      <c r="AJ1025" s="5"/>
      <c r="AK1025" s="5"/>
      <c r="AL1025" s="5"/>
      <c r="AM1025" s="5"/>
      <c r="AN1025" s="5"/>
    </row>
    <row r="1026" spans="1:40">
      <c r="A1026" s="111"/>
      <c r="B1026" s="111"/>
      <c r="C1026" s="111"/>
      <c r="D1026" s="111"/>
      <c r="E1026" s="111"/>
      <c r="F1026" s="111"/>
      <c r="G1026" s="111"/>
      <c r="H1026" s="111"/>
      <c r="I1026" s="111"/>
      <c r="J1026" s="111"/>
      <c r="K1026" s="111"/>
      <c r="L1026" s="111"/>
      <c r="M1026" s="111"/>
      <c r="N1026" s="111"/>
      <c r="O1026" s="111"/>
      <c r="P1026" s="111"/>
      <c r="Q1026" s="139"/>
      <c r="R1026" s="113"/>
      <c r="S1026" s="113"/>
      <c r="T1026" s="113"/>
      <c r="U1026" s="114"/>
      <c r="V1026" s="115"/>
      <c r="W1026" s="116"/>
      <c r="X1026" s="117"/>
      <c r="Y1026" s="111"/>
      <c r="Z1026" s="111"/>
      <c r="AH1026" s="5"/>
      <c r="AI1026" s="5"/>
      <c r="AJ1026" s="5"/>
      <c r="AK1026" s="5"/>
      <c r="AL1026" s="5"/>
      <c r="AM1026" s="5"/>
      <c r="AN1026" s="5"/>
    </row>
    <row r="1027" spans="1:40">
      <c r="A1027" s="111"/>
      <c r="B1027" s="111"/>
      <c r="C1027" s="111"/>
      <c r="D1027" s="111"/>
      <c r="E1027" s="111"/>
      <c r="F1027" s="111"/>
      <c r="G1027" s="111"/>
      <c r="H1027" s="111"/>
      <c r="I1027" s="111"/>
      <c r="J1027" s="111"/>
      <c r="K1027" s="111"/>
      <c r="L1027" s="111"/>
      <c r="M1027" s="111"/>
      <c r="N1027" s="111"/>
      <c r="O1027" s="111"/>
      <c r="P1027" s="111"/>
      <c r="Q1027" s="139"/>
      <c r="R1027" s="113"/>
      <c r="S1027" s="113"/>
      <c r="T1027" s="113"/>
      <c r="U1027" s="114"/>
      <c r="V1027" s="115"/>
      <c r="W1027" s="116"/>
      <c r="X1027" s="117"/>
      <c r="Y1027" s="111"/>
      <c r="Z1027" s="111"/>
      <c r="AH1027" s="5"/>
      <c r="AI1027" s="5"/>
      <c r="AJ1027" s="5"/>
      <c r="AK1027" s="5"/>
      <c r="AL1027" s="5"/>
      <c r="AM1027" s="5"/>
      <c r="AN1027" s="5"/>
    </row>
    <row r="1028" spans="1:40">
      <c r="A1028" s="111"/>
      <c r="B1028" s="111"/>
      <c r="C1028" s="111"/>
      <c r="D1028" s="111"/>
      <c r="E1028" s="111"/>
      <c r="F1028" s="111"/>
      <c r="G1028" s="111"/>
      <c r="H1028" s="111"/>
      <c r="I1028" s="111"/>
      <c r="J1028" s="111"/>
      <c r="K1028" s="111"/>
      <c r="L1028" s="111"/>
      <c r="M1028" s="111"/>
      <c r="N1028" s="111"/>
      <c r="O1028" s="111"/>
      <c r="P1028" s="111"/>
      <c r="Q1028" s="139"/>
      <c r="R1028" s="113"/>
      <c r="S1028" s="113"/>
      <c r="T1028" s="113"/>
      <c r="U1028" s="114"/>
      <c r="V1028" s="115"/>
      <c r="W1028" s="116"/>
      <c r="X1028" s="117"/>
      <c r="Y1028" s="111"/>
      <c r="Z1028" s="111"/>
      <c r="AH1028" s="5"/>
      <c r="AI1028" s="5"/>
      <c r="AJ1028" s="5"/>
      <c r="AK1028" s="5"/>
      <c r="AL1028" s="5"/>
      <c r="AM1028" s="5"/>
      <c r="AN1028" s="5"/>
    </row>
    <row r="1029" spans="1:40">
      <c r="A1029" s="111"/>
      <c r="B1029" s="111"/>
      <c r="C1029" s="111"/>
      <c r="D1029" s="111"/>
      <c r="E1029" s="111"/>
      <c r="F1029" s="111"/>
      <c r="G1029" s="111"/>
      <c r="H1029" s="111"/>
      <c r="I1029" s="111"/>
      <c r="J1029" s="111"/>
      <c r="K1029" s="111"/>
      <c r="L1029" s="111"/>
      <c r="M1029" s="111"/>
      <c r="N1029" s="111"/>
      <c r="O1029" s="111"/>
      <c r="P1029" s="111"/>
      <c r="Q1029" s="139"/>
      <c r="R1029" s="113"/>
      <c r="S1029" s="113"/>
      <c r="T1029" s="113"/>
      <c r="U1029" s="114"/>
      <c r="V1029" s="115"/>
      <c r="W1029" s="116"/>
      <c r="X1029" s="117"/>
      <c r="Y1029" s="111"/>
      <c r="Z1029" s="111"/>
      <c r="AH1029" s="5"/>
      <c r="AI1029" s="5"/>
      <c r="AJ1029" s="5"/>
      <c r="AK1029" s="5"/>
      <c r="AL1029" s="5"/>
      <c r="AM1029" s="5"/>
      <c r="AN1029" s="5"/>
    </row>
    <row r="1030" spans="1:40">
      <c r="A1030" s="111"/>
      <c r="B1030" s="111"/>
      <c r="C1030" s="111"/>
      <c r="D1030" s="111"/>
      <c r="E1030" s="111"/>
      <c r="F1030" s="111"/>
      <c r="G1030" s="111"/>
      <c r="H1030" s="111"/>
      <c r="I1030" s="111"/>
      <c r="J1030" s="111"/>
      <c r="K1030" s="111"/>
      <c r="L1030" s="111"/>
      <c r="M1030" s="111"/>
      <c r="N1030" s="111"/>
      <c r="O1030" s="111"/>
      <c r="P1030" s="111"/>
      <c r="Q1030" s="139"/>
      <c r="R1030" s="113"/>
      <c r="S1030" s="113"/>
      <c r="T1030" s="113"/>
      <c r="U1030" s="114"/>
      <c r="V1030" s="115"/>
      <c r="W1030" s="116"/>
      <c r="X1030" s="117"/>
      <c r="Y1030" s="111"/>
      <c r="Z1030" s="111"/>
      <c r="AH1030" s="5"/>
      <c r="AI1030" s="5"/>
      <c r="AJ1030" s="5"/>
      <c r="AK1030" s="5"/>
      <c r="AL1030" s="5"/>
      <c r="AM1030" s="5"/>
      <c r="AN1030" s="5"/>
    </row>
    <row r="1031" spans="1:40">
      <c r="A1031" s="111"/>
      <c r="B1031" s="111"/>
      <c r="C1031" s="111"/>
      <c r="D1031" s="111"/>
      <c r="E1031" s="111"/>
      <c r="F1031" s="111"/>
      <c r="G1031" s="111"/>
      <c r="H1031" s="111"/>
      <c r="I1031" s="111"/>
      <c r="J1031" s="111"/>
      <c r="K1031" s="111"/>
      <c r="L1031" s="111"/>
      <c r="M1031" s="111"/>
      <c r="N1031" s="111"/>
      <c r="O1031" s="111"/>
      <c r="P1031" s="111"/>
      <c r="Q1031" s="139"/>
      <c r="R1031" s="113"/>
      <c r="S1031" s="113"/>
      <c r="T1031" s="113"/>
      <c r="U1031" s="114"/>
      <c r="V1031" s="115"/>
      <c r="W1031" s="116"/>
      <c r="X1031" s="117"/>
      <c r="Y1031" s="111"/>
      <c r="Z1031" s="111"/>
      <c r="AH1031" s="5"/>
      <c r="AI1031" s="5"/>
      <c r="AJ1031" s="5"/>
      <c r="AK1031" s="5"/>
      <c r="AL1031" s="5"/>
      <c r="AM1031" s="5"/>
      <c r="AN1031" s="5"/>
    </row>
    <row r="1032" spans="1:40">
      <c r="A1032" s="111"/>
      <c r="B1032" s="111"/>
      <c r="C1032" s="111"/>
      <c r="D1032" s="111"/>
      <c r="E1032" s="111"/>
      <c r="F1032" s="111"/>
      <c r="G1032" s="111"/>
      <c r="H1032" s="111"/>
      <c r="I1032" s="111"/>
      <c r="J1032" s="111"/>
      <c r="K1032" s="111"/>
      <c r="L1032" s="111"/>
      <c r="M1032" s="111"/>
      <c r="N1032" s="111"/>
      <c r="O1032" s="111"/>
      <c r="P1032" s="111"/>
      <c r="Q1032" s="139"/>
      <c r="R1032" s="113"/>
      <c r="S1032" s="113"/>
      <c r="T1032" s="113"/>
      <c r="U1032" s="114"/>
      <c r="V1032" s="115"/>
      <c r="W1032" s="116"/>
      <c r="X1032" s="117"/>
      <c r="Y1032" s="111"/>
      <c r="Z1032" s="111"/>
      <c r="AH1032" s="5"/>
      <c r="AI1032" s="5"/>
      <c r="AJ1032" s="5"/>
      <c r="AK1032" s="5"/>
      <c r="AL1032" s="5"/>
      <c r="AM1032" s="5"/>
      <c r="AN1032" s="5"/>
    </row>
    <row r="1033" spans="1:40">
      <c r="A1033" s="111"/>
      <c r="B1033" s="111"/>
      <c r="C1033" s="111"/>
      <c r="D1033" s="111"/>
      <c r="E1033" s="111"/>
      <c r="F1033" s="111"/>
      <c r="G1033" s="111"/>
      <c r="H1033" s="111"/>
      <c r="I1033" s="111"/>
      <c r="J1033" s="111"/>
      <c r="K1033" s="111"/>
      <c r="L1033" s="111"/>
      <c r="M1033" s="111"/>
      <c r="N1033" s="111"/>
      <c r="O1033" s="111"/>
      <c r="P1033" s="111"/>
      <c r="Q1033" s="139"/>
      <c r="R1033" s="113"/>
      <c r="S1033" s="113"/>
      <c r="T1033" s="113"/>
      <c r="U1033" s="114"/>
      <c r="V1033" s="115"/>
      <c r="W1033" s="116"/>
      <c r="X1033" s="117"/>
      <c r="Y1033" s="111"/>
      <c r="Z1033" s="111"/>
      <c r="AH1033" s="5"/>
      <c r="AI1033" s="5"/>
      <c r="AJ1033" s="5"/>
      <c r="AK1033" s="5"/>
      <c r="AL1033" s="5"/>
      <c r="AM1033" s="5"/>
      <c r="AN1033" s="5"/>
    </row>
    <row r="1034" spans="1:40">
      <c r="A1034" s="111"/>
      <c r="B1034" s="111"/>
      <c r="C1034" s="111"/>
      <c r="D1034" s="111"/>
      <c r="E1034" s="111"/>
      <c r="F1034" s="111"/>
      <c r="G1034" s="111"/>
      <c r="H1034" s="111"/>
      <c r="I1034" s="111"/>
      <c r="J1034" s="111"/>
      <c r="K1034" s="111"/>
      <c r="L1034" s="111"/>
      <c r="M1034" s="111"/>
      <c r="N1034" s="111"/>
      <c r="O1034" s="111"/>
      <c r="P1034" s="111"/>
      <c r="Q1034" s="139"/>
      <c r="R1034" s="113"/>
      <c r="S1034" s="113"/>
      <c r="T1034" s="113"/>
      <c r="U1034" s="114"/>
      <c r="V1034" s="115"/>
      <c r="W1034" s="116"/>
      <c r="X1034" s="117"/>
      <c r="Y1034" s="111"/>
      <c r="Z1034" s="111"/>
      <c r="AH1034" s="5"/>
      <c r="AI1034" s="5"/>
      <c r="AJ1034" s="5"/>
      <c r="AK1034" s="5"/>
      <c r="AL1034" s="5"/>
      <c r="AM1034" s="5"/>
      <c r="AN1034" s="5"/>
    </row>
    <row r="1035" spans="1:40">
      <c r="A1035" s="111"/>
      <c r="B1035" s="111"/>
      <c r="C1035" s="111"/>
      <c r="D1035" s="111"/>
      <c r="E1035" s="111"/>
      <c r="F1035" s="111"/>
      <c r="G1035" s="111"/>
      <c r="H1035" s="111"/>
      <c r="I1035" s="111"/>
      <c r="J1035" s="111"/>
      <c r="K1035" s="111"/>
      <c r="L1035" s="111"/>
      <c r="M1035" s="111"/>
      <c r="N1035" s="111"/>
      <c r="O1035" s="111"/>
      <c r="P1035" s="111"/>
      <c r="Q1035" s="139"/>
      <c r="R1035" s="113"/>
      <c r="S1035" s="113"/>
      <c r="T1035" s="113"/>
      <c r="U1035" s="114"/>
      <c r="V1035" s="115"/>
      <c r="W1035" s="116"/>
      <c r="X1035" s="117"/>
      <c r="Y1035" s="111"/>
      <c r="Z1035" s="111"/>
      <c r="AH1035" s="5"/>
      <c r="AI1035" s="5"/>
      <c r="AJ1035" s="5"/>
      <c r="AK1035" s="5"/>
      <c r="AL1035" s="5"/>
      <c r="AM1035" s="5"/>
      <c r="AN1035" s="5"/>
    </row>
    <row r="1036" spans="1:40">
      <c r="A1036" s="111"/>
      <c r="B1036" s="111"/>
      <c r="C1036" s="111"/>
      <c r="D1036" s="111"/>
      <c r="E1036" s="111"/>
      <c r="F1036" s="111"/>
      <c r="G1036" s="111"/>
      <c r="H1036" s="111"/>
      <c r="I1036" s="111"/>
      <c r="J1036" s="111"/>
      <c r="K1036" s="111"/>
      <c r="L1036" s="111"/>
      <c r="M1036" s="111"/>
      <c r="N1036" s="111"/>
      <c r="O1036" s="111"/>
      <c r="P1036" s="111"/>
      <c r="Q1036" s="139"/>
      <c r="R1036" s="113"/>
      <c r="S1036" s="113"/>
      <c r="T1036" s="113"/>
      <c r="U1036" s="114"/>
      <c r="V1036" s="115"/>
      <c r="W1036" s="116"/>
      <c r="X1036" s="117"/>
      <c r="Y1036" s="111"/>
      <c r="Z1036" s="111"/>
      <c r="AH1036" s="5"/>
      <c r="AI1036" s="5"/>
      <c r="AJ1036" s="5"/>
      <c r="AK1036" s="5"/>
      <c r="AL1036" s="5"/>
      <c r="AM1036" s="5"/>
      <c r="AN1036" s="5"/>
    </row>
    <row r="1037" spans="1:40">
      <c r="A1037" s="111"/>
      <c r="B1037" s="111"/>
      <c r="C1037" s="111"/>
      <c r="D1037" s="111"/>
      <c r="E1037" s="111"/>
      <c r="F1037" s="111"/>
      <c r="G1037" s="111"/>
      <c r="H1037" s="111"/>
      <c r="I1037" s="111"/>
      <c r="J1037" s="111"/>
      <c r="K1037" s="111"/>
      <c r="L1037" s="111"/>
      <c r="M1037" s="111"/>
      <c r="N1037" s="111"/>
      <c r="O1037" s="111"/>
      <c r="P1037" s="111"/>
      <c r="Q1037" s="139"/>
      <c r="R1037" s="113"/>
      <c r="S1037" s="113"/>
      <c r="T1037" s="113"/>
      <c r="U1037" s="114"/>
      <c r="V1037" s="115"/>
      <c r="W1037" s="116"/>
      <c r="X1037" s="117"/>
      <c r="Y1037" s="111"/>
      <c r="Z1037" s="111"/>
      <c r="AH1037" s="5"/>
      <c r="AI1037" s="5"/>
      <c r="AJ1037" s="5"/>
      <c r="AK1037" s="5"/>
      <c r="AL1037" s="5"/>
      <c r="AM1037" s="5"/>
      <c r="AN1037" s="5"/>
    </row>
    <row r="1038" spans="1:40">
      <c r="A1038" s="111"/>
      <c r="B1038" s="111"/>
      <c r="C1038" s="111"/>
      <c r="D1038" s="111"/>
      <c r="E1038" s="111"/>
      <c r="F1038" s="111"/>
      <c r="G1038" s="111"/>
      <c r="H1038" s="111"/>
      <c r="I1038" s="111"/>
      <c r="J1038" s="111"/>
      <c r="K1038" s="111"/>
      <c r="L1038" s="111"/>
      <c r="M1038" s="111"/>
      <c r="N1038" s="111"/>
      <c r="O1038" s="111"/>
      <c r="P1038" s="111"/>
      <c r="Q1038" s="139"/>
      <c r="R1038" s="113"/>
      <c r="S1038" s="113"/>
      <c r="T1038" s="113"/>
      <c r="U1038" s="114"/>
      <c r="V1038" s="115"/>
      <c r="W1038" s="116"/>
      <c r="X1038" s="117"/>
      <c r="Y1038" s="111"/>
      <c r="Z1038" s="111"/>
      <c r="AH1038" s="5"/>
      <c r="AI1038" s="5"/>
      <c r="AJ1038" s="5"/>
      <c r="AK1038" s="5"/>
      <c r="AL1038" s="5"/>
      <c r="AM1038" s="5"/>
      <c r="AN1038" s="5"/>
    </row>
    <row r="1039" spans="1:40">
      <c r="A1039" s="111"/>
      <c r="B1039" s="111"/>
      <c r="C1039" s="111"/>
      <c r="D1039" s="111"/>
      <c r="E1039" s="111"/>
      <c r="F1039" s="111"/>
      <c r="G1039" s="111"/>
      <c r="H1039" s="111"/>
      <c r="I1039" s="111"/>
      <c r="J1039" s="111"/>
      <c r="K1039" s="111"/>
      <c r="L1039" s="111"/>
      <c r="M1039" s="111"/>
      <c r="N1039" s="111"/>
      <c r="O1039" s="111"/>
      <c r="P1039" s="111"/>
      <c r="Q1039" s="139"/>
      <c r="R1039" s="113"/>
      <c r="S1039" s="113"/>
      <c r="T1039" s="113"/>
      <c r="U1039" s="114"/>
      <c r="V1039" s="115"/>
      <c r="W1039" s="116"/>
      <c r="X1039" s="117"/>
      <c r="Y1039" s="111"/>
      <c r="Z1039" s="111"/>
      <c r="AH1039" s="5"/>
      <c r="AI1039" s="5"/>
      <c r="AJ1039" s="5"/>
      <c r="AK1039" s="5"/>
      <c r="AL1039" s="5"/>
      <c r="AM1039" s="5"/>
      <c r="AN1039" s="5"/>
    </row>
    <row r="1040" spans="1:40">
      <c r="A1040" s="111"/>
      <c r="B1040" s="111"/>
      <c r="C1040" s="111"/>
      <c r="D1040" s="111"/>
      <c r="E1040" s="111"/>
      <c r="F1040" s="111"/>
      <c r="G1040" s="111"/>
      <c r="H1040" s="111"/>
      <c r="I1040" s="111"/>
      <c r="J1040" s="111"/>
      <c r="K1040" s="111"/>
      <c r="L1040" s="111"/>
      <c r="M1040" s="111"/>
      <c r="N1040" s="111"/>
      <c r="O1040" s="111"/>
      <c r="P1040" s="111"/>
      <c r="Q1040" s="139"/>
      <c r="R1040" s="113"/>
      <c r="S1040" s="113"/>
      <c r="T1040" s="113"/>
      <c r="U1040" s="114"/>
      <c r="V1040" s="115"/>
      <c r="W1040" s="116"/>
      <c r="X1040" s="117"/>
      <c r="Y1040" s="111"/>
      <c r="Z1040" s="111"/>
      <c r="AH1040" s="5"/>
      <c r="AI1040" s="5"/>
      <c r="AJ1040" s="5"/>
      <c r="AK1040" s="5"/>
      <c r="AL1040" s="5"/>
      <c r="AM1040" s="5"/>
      <c r="AN1040" s="5"/>
    </row>
    <row r="1041" spans="1:40">
      <c r="A1041" s="111"/>
      <c r="B1041" s="111"/>
      <c r="C1041" s="111"/>
      <c r="D1041" s="111"/>
      <c r="E1041" s="111"/>
      <c r="F1041" s="111"/>
      <c r="G1041" s="111"/>
      <c r="H1041" s="111"/>
      <c r="I1041" s="111"/>
      <c r="J1041" s="111"/>
      <c r="K1041" s="111"/>
      <c r="L1041" s="111"/>
      <c r="M1041" s="111"/>
      <c r="N1041" s="111"/>
      <c r="O1041" s="111"/>
      <c r="P1041" s="111"/>
      <c r="Q1041" s="139"/>
      <c r="R1041" s="113"/>
      <c r="S1041" s="113"/>
      <c r="T1041" s="113"/>
      <c r="U1041" s="114"/>
      <c r="V1041" s="115"/>
      <c r="W1041" s="116"/>
      <c r="X1041" s="117"/>
      <c r="Y1041" s="111"/>
      <c r="Z1041" s="111"/>
      <c r="AH1041" s="5"/>
      <c r="AI1041" s="5"/>
      <c r="AJ1041" s="5"/>
      <c r="AK1041" s="5"/>
      <c r="AL1041" s="5"/>
      <c r="AM1041" s="5"/>
      <c r="AN1041" s="5"/>
    </row>
    <row r="1042" spans="1:40">
      <c r="A1042" s="111"/>
      <c r="B1042" s="111"/>
      <c r="C1042" s="111"/>
      <c r="D1042" s="111"/>
      <c r="E1042" s="111"/>
      <c r="F1042" s="111"/>
      <c r="G1042" s="111"/>
      <c r="H1042" s="111"/>
      <c r="I1042" s="111"/>
      <c r="J1042" s="111"/>
      <c r="K1042" s="111"/>
      <c r="L1042" s="111"/>
      <c r="M1042" s="111"/>
      <c r="N1042" s="111"/>
      <c r="O1042" s="111"/>
      <c r="P1042" s="111"/>
      <c r="Q1042" s="139"/>
      <c r="R1042" s="113"/>
      <c r="S1042" s="113"/>
      <c r="T1042" s="113"/>
      <c r="U1042" s="114"/>
      <c r="V1042" s="115"/>
      <c r="W1042" s="116"/>
      <c r="X1042" s="117"/>
      <c r="Y1042" s="111"/>
      <c r="Z1042" s="111"/>
      <c r="AH1042" s="5"/>
      <c r="AI1042" s="5"/>
      <c r="AJ1042" s="5"/>
      <c r="AK1042" s="5"/>
      <c r="AL1042" s="5"/>
      <c r="AM1042" s="5"/>
      <c r="AN1042" s="5"/>
    </row>
    <row r="1043" spans="1:40">
      <c r="A1043" s="111"/>
      <c r="B1043" s="111"/>
      <c r="C1043" s="111"/>
      <c r="D1043" s="111"/>
      <c r="E1043" s="111"/>
      <c r="F1043" s="111"/>
      <c r="G1043" s="111"/>
      <c r="H1043" s="111"/>
      <c r="I1043" s="111"/>
      <c r="J1043" s="111"/>
      <c r="K1043" s="111"/>
      <c r="L1043" s="111"/>
      <c r="M1043" s="111"/>
      <c r="N1043" s="111"/>
      <c r="O1043" s="111"/>
      <c r="P1043" s="111"/>
      <c r="Q1043" s="139"/>
      <c r="R1043" s="113"/>
      <c r="S1043" s="113"/>
      <c r="T1043" s="113"/>
      <c r="U1043" s="114"/>
      <c r="V1043" s="115"/>
      <c r="W1043" s="116"/>
      <c r="X1043" s="117"/>
      <c r="Y1043" s="111"/>
      <c r="Z1043" s="111"/>
      <c r="AH1043" s="5"/>
      <c r="AI1043" s="5"/>
      <c r="AJ1043" s="5"/>
      <c r="AK1043" s="5"/>
      <c r="AL1043" s="5"/>
      <c r="AM1043" s="5"/>
      <c r="AN1043" s="5"/>
    </row>
    <row r="1044" spans="1:40">
      <c r="A1044" s="111"/>
      <c r="B1044" s="111"/>
      <c r="C1044" s="111"/>
      <c r="D1044" s="111"/>
      <c r="E1044" s="111"/>
      <c r="F1044" s="111"/>
      <c r="G1044" s="111"/>
      <c r="H1044" s="111"/>
      <c r="I1044" s="111"/>
      <c r="J1044" s="111"/>
      <c r="K1044" s="111"/>
      <c r="L1044" s="111"/>
      <c r="M1044" s="111"/>
      <c r="N1044" s="111"/>
      <c r="O1044" s="111"/>
      <c r="P1044" s="111"/>
      <c r="Q1044" s="139"/>
      <c r="R1044" s="113"/>
      <c r="S1044" s="113"/>
      <c r="T1044" s="113"/>
      <c r="U1044" s="114"/>
      <c r="V1044" s="115"/>
      <c r="W1044" s="116"/>
      <c r="X1044" s="117"/>
      <c r="Y1044" s="111"/>
      <c r="Z1044" s="111"/>
      <c r="AH1044" s="5"/>
      <c r="AI1044" s="5"/>
      <c r="AJ1044" s="5"/>
      <c r="AK1044" s="5"/>
      <c r="AL1044" s="5"/>
      <c r="AM1044" s="5"/>
      <c r="AN1044" s="5"/>
    </row>
    <row r="1045" spans="1:40">
      <c r="A1045" s="111"/>
      <c r="B1045" s="111"/>
      <c r="C1045" s="111"/>
      <c r="D1045" s="111"/>
      <c r="E1045" s="111"/>
      <c r="F1045" s="111"/>
      <c r="G1045" s="111"/>
      <c r="H1045" s="111"/>
      <c r="I1045" s="111"/>
      <c r="J1045" s="111"/>
      <c r="K1045" s="111"/>
      <c r="L1045" s="111"/>
      <c r="M1045" s="111"/>
      <c r="N1045" s="111"/>
      <c r="O1045" s="111"/>
      <c r="P1045" s="111"/>
      <c r="Q1045" s="139"/>
      <c r="R1045" s="113"/>
      <c r="S1045" s="113"/>
      <c r="T1045" s="113"/>
      <c r="U1045" s="114"/>
      <c r="V1045" s="115"/>
      <c r="W1045" s="116"/>
      <c r="X1045" s="117"/>
      <c r="Y1045" s="111"/>
      <c r="Z1045" s="111"/>
      <c r="AH1045" s="5"/>
      <c r="AI1045" s="5"/>
      <c r="AJ1045" s="5"/>
      <c r="AK1045" s="5"/>
      <c r="AL1045" s="5"/>
      <c r="AM1045" s="5"/>
      <c r="AN1045" s="5"/>
    </row>
    <row r="1046" spans="1:40">
      <c r="A1046" s="111"/>
      <c r="B1046" s="111"/>
      <c r="C1046" s="111"/>
      <c r="D1046" s="111"/>
      <c r="E1046" s="111"/>
      <c r="F1046" s="111"/>
      <c r="G1046" s="111"/>
      <c r="H1046" s="111"/>
      <c r="I1046" s="111"/>
      <c r="J1046" s="111"/>
      <c r="K1046" s="111"/>
      <c r="L1046" s="111"/>
      <c r="M1046" s="111"/>
      <c r="N1046" s="111"/>
      <c r="O1046" s="111"/>
      <c r="P1046" s="111"/>
      <c r="Q1046" s="139"/>
      <c r="R1046" s="113"/>
      <c r="S1046" s="113"/>
      <c r="T1046" s="113"/>
      <c r="U1046" s="114"/>
      <c r="V1046" s="115"/>
      <c r="W1046" s="116"/>
      <c r="X1046" s="117"/>
      <c r="Y1046" s="111"/>
      <c r="Z1046" s="111"/>
      <c r="AH1046" s="5"/>
      <c r="AI1046" s="5"/>
      <c r="AJ1046" s="5"/>
      <c r="AK1046" s="5"/>
      <c r="AL1046" s="5"/>
      <c r="AM1046" s="5"/>
      <c r="AN1046" s="5"/>
    </row>
    <row r="1047" spans="1:40">
      <c r="A1047" s="111"/>
      <c r="B1047" s="111"/>
      <c r="C1047" s="111"/>
      <c r="D1047" s="111"/>
      <c r="E1047" s="111"/>
      <c r="F1047" s="111"/>
      <c r="G1047" s="111"/>
      <c r="H1047" s="111"/>
      <c r="I1047" s="111"/>
      <c r="J1047" s="111"/>
      <c r="K1047" s="111"/>
      <c r="L1047" s="111"/>
      <c r="M1047" s="111"/>
      <c r="N1047" s="111"/>
      <c r="O1047" s="111"/>
      <c r="P1047" s="111"/>
      <c r="Q1047" s="139"/>
      <c r="R1047" s="113"/>
      <c r="S1047" s="113"/>
      <c r="T1047" s="113"/>
      <c r="U1047" s="114"/>
      <c r="V1047" s="115"/>
      <c r="W1047" s="116"/>
      <c r="X1047" s="117"/>
      <c r="Y1047" s="111"/>
      <c r="Z1047" s="111"/>
      <c r="AH1047" s="5"/>
      <c r="AI1047" s="5"/>
      <c r="AJ1047" s="5"/>
      <c r="AK1047" s="5"/>
      <c r="AL1047" s="5"/>
      <c r="AM1047" s="5"/>
      <c r="AN1047" s="5"/>
    </row>
    <row r="1048" spans="1:40">
      <c r="A1048" s="111"/>
      <c r="B1048" s="111"/>
      <c r="C1048" s="111"/>
      <c r="D1048" s="111"/>
      <c r="E1048" s="111"/>
      <c r="F1048" s="111"/>
      <c r="G1048" s="111"/>
      <c r="H1048" s="111"/>
      <c r="I1048" s="111"/>
      <c r="J1048" s="111"/>
      <c r="K1048" s="111"/>
      <c r="L1048" s="111"/>
      <c r="M1048" s="111"/>
      <c r="N1048" s="111"/>
      <c r="O1048" s="111"/>
      <c r="P1048" s="111"/>
      <c r="Q1048" s="139"/>
      <c r="R1048" s="113"/>
      <c r="S1048" s="113"/>
      <c r="T1048" s="113"/>
      <c r="U1048" s="114"/>
      <c r="V1048" s="115"/>
      <c r="W1048" s="116"/>
      <c r="X1048" s="117"/>
      <c r="Y1048" s="111"/>
      <c r="Z1048" s="111"/>
      <c r="AH1048" s="5"/>
      <c r="AI1048" s="5"/>
      <c r="AJ1048" s="5"/>
      <c r="AK1048" s="5"/>
      <c r="AL1048" s="5"/>
      <c r="AM1048" s="5"/>
      <c r="AN1048" s="5"/>
    </row>
    <row r="1049" spans="1:40">
      <c r="A1049" s="111"/>
      <c r="B1049" s="111"/>
      <c r="C1049" s="111"/>
      <c r="D1049" s="111"/>
      <c r="E1049" s="111"/>
      <c r="F1049" s="111"/>
      <c r="G1049" s="111"/>
      <c r="H1049" s="111"/>
      <c r="I1049" s="111"/>
      <c r="J1049" s="111"/>
      <c r="K1049" s="111"/>
      <c r="L1049" s="111"/>
      <c r="M1049" s="111"/>
      <c r="N1049" s="111"/>
      <c r="O1049" s="111"/>
      <c r="P1049" s="111"/>
      <c r="Q1049" s="139"/>
      <c r="R1049" s="113"/>
      <c r="S1049" s="113"/>
      <c r="T1049" s="113"/>
      <c r="U1049" s="114"/>
      <c r="V1049" s="115"/>
      <c r="W1049" s="116"/>
      <c r="X1049" s="117"/>
      <c r="Y1049" s="111"/>
      <c r="Z1049" s="111"/>
      <c r="AH1049" s="5"/>
      <c r="AI1049" s="5"/>
      <c r="AJ1049" s="5"/>
      <c r="AK1049" s="5"/>
      <c r="AL1049" s="5"/>
      <c r="AM1049" s="5"/>
      <c r="AN1049" s="5"/>
    </row>
    <row r="1050" spans="1:40">
      <c r="A1050" s="111"/>
      <c r="B1050" s="111"/>
      <c r="C1050" s="111"/>
      <c r="D1050" s="111"/>
      <c r="E1050" s="111"/>
      <c r="F1050" s="111"/>
      <c r="G1050" s="111"/>
      <c r="H1050" s="111"/>
      <c r="I1050" s="111"/>
      <c r="J1050" s="111"/>
      <c r="K1050" s="111"/>
      <c r="L1050" s="111"/>
      <c r="M1050" s="111"/>
      <c r="N1050" s="111"/>
      <c r="O1050" s="111"/>
      <c r="P1050" s="111"/>
      <c r="Q1050" s="139"/>
      <c r="R1050" s="113"/>
      <c r="S1050" s="113"/>
      <c r="T1050" s="113"/>
      <c r="U1050" s="114"/>
      <c r="V1050" s="115"/>
      <c r="W1050" s="116"/>
      <c r="X1050" s="117"/>
      <c r="Y1050" s="111"/>
      <c r="Z1050" s="111"/>
      <c r="AH1050" s="5"/>
      <c r="AI1050" s="5"/>
      <c r="AJ1050" s="5"/>
      <c r="AK1050" s="5"/>
      <c r="AL1050" s="5"/>
      <c r="AM1050" s="5"/>
      <c r="AN1050" s="5"/>
    </row>
    <row r="1051" spans="1:40">
      <c r="A1051" s="111"/>
      <c r="B1051" s="111"/>
      <c r="C1051" s="111"/>
      <c r="D1051" s="111"/>
      <c r="E1051" s="111"/>
      <c r="F1051" s="111"/>
      <c r="G1051" s="111"/>
      <c r="H1051" s="111"/>
      <c r="I1051" s="111"/>
      <c r="J1051" s="111"/>
      <c r="K1051" s="111"/>
      <c r="L1051" s="111"/>
      <c r="M1051" s="111"/>
      <c r="N1051" s="111"/>
      <c r="O1051" s="111"/>
      <c r="P1051" s="111"/>
      <c r="Q1051" s="139"/>
      <c r="R1051" s="113"/>
      <c r="S1051" s="113"/>
      <c r="T1051" s="113"/>
      <c r="U1051" s="114"/>
      <c r="V1051" s="115"/>
      <c r="W1051" s="116"/>
      <c r="X1051" s="117"/>
      <c r="Y1051" s="111"/>
      <c r="Z1051" s="111"/>
      <c r="AH1051" s="5"/>
      <c r="AI1051" s="5"/>
      <c r="AJ1051" s="5"/>
      <c r="AK1051" s="5"/>
      <c r="AL1051" s="5"/>
      <c r="AM1051" s="5"/>
      <c r="AN1051" s="5"/>
    </row>
    <row r="1052" spans="1:40">
      <c r="A1052" s="111"/>
      <c r="B1052" s="111"/>
      <c r="C1052" s="111"/>
      <c r="D1052" s="111"/>
      <c r="E1052" s="111"/>
      <c r="F1052" s="111"/>
      <c r="G1052" s="111"/>
      <c r="H1052" s="111"/>
      <c r="I1052" s="111"/>
      <c r="J1052" s="111"/>
      <c r="K1052" s="111"/>
      <c r="L1052" s="111"/>
      <c r="M1052" s="111"/>
      <c r="N1052" s="111"/>
      <c r="O1052" s="111"/>
      <c r="P1052" s="111"/>
      <c r="Q1052" s="139"/>
      <c r="R1052" s="113"/>
      <c r="S1052" s="113"/>
      <c r="T1052" s="113"/>
      <c r="U1052" s="114"/>
      <c r="V1052" s="115"/>
      <c r="W1052" s="116"/>
      <c r="X1052" s="117"/>
      <c r="Y1052" s="111"/>
      <c r="Z1052" s="111"/>
      <c r="AH1052" s="5"/>
      <c r="AI1052" s="5"/>
      <c r="AJ1052" s="5"/>
      <c r="AK1052" s="5"/>
      <c r="AL1052" s="5"/>
      <c r="AM1052" s="5"/>
      <c r="AN1052" s="5"/>
    </row>
    <row r="1053" spans="1:40">
      <c r="A1053" s="111"/>
      <c r="B1053" s="111"/>
      <c r="C1053" s="111"/>
      <c r="D1053" s="111"/>
      <c r="E1053" s="111"/>
      <c r="F1053" s="111"/>
      <c r="G1053" s="111"/>
      <c r="H1053" s="111"/>
      <c r="I1053" s="111"/>
      <c r="J1053" s="111"/>
      <c r="K1053" s="111"/>
      <c r="L1053" s="111"/>
      <c r="M1053" s="111"/>
      <c r="N1053" s="111"/>
      <c r="O1053" s="111"/>
      <c r="P1053" s="111"/>
      <c r="Q1053" s="139"/>
      <c r="R1053" s="113"/>
      <c r="S1053" s="113"/>
      <c r="T1053" s="113"/>
      <c r="U1053" s="114"/>
      <c r="V1053" s="115"/>
      <c r="W1053" s="116"/>
      <c r="X1053" s="117"/>
      <c r="Y1053" s="111"/>
      <c r="Z1053" s="111"/>
      <c r="AH1053" s="5"/>
      <c r="AI1053" s="5"/>
      <c r="AJ1053" s="5"/>
      <c r="AK1053" s="5"/>
      <c r="AL1053" s="5"/>
      <c r="AM1053" s="5"/>
      <c r="AN1053" s="5"/>
    </row>
    <row r="1054" spans="1:40">
      <c r="A1054" s="111"/>
      <c r="B1054" s="111"/>
      <c r="C1054" s="111"/>
      <c r="D1054" s="111"/>
      <c r="E1054" s="111"/>
      <c r="F1054" s="111"/>
      <c r="G1054" s="111"/>
      <c r="H1054" s="111"/>
      <c r="I1054" s="111"/>
      <c r="J1054" s="111"/>
      <c r="K1054" s="111"/>
      <c r="L1054" s="111"/>
      <c r="M1054" s="111"/>
      <c r="N1054" s="111"/>
      <c r="O1054" s="111"/>
      <c r="P1054" s="111"/>
      <c r="Q1054" s="139"/>
      <c r="R1054" s="113"/>
      <c r="S1054" s="113"/>
      <c r="T1054" s="113"/>
      <c r="U1054" s="114"/>
      <c r="V1054" s="115"/>
      <c r="W1054" s="116"/>
      <c r="X1054" s="117"/>
      <c r="Y1054" s="111"/>
      <c r="Z1054" s="111"/>
      <c r="AH1054" s="5"/>
      <c r="AI1054" s="5"/>
      <c r="AJ1054" s="5"/>
      <c r="AK1054" s="5"/>
      <c r="AL1054" s="5"/>
      <c r="AM1054" s="5"/>
      <c r="AN1054" s="5"/>
    </row>
    <row r="1055" spans="1:40">
      <c r="A1055" s="111"/>
      <c r="B1055" s="111"/>
      <c r="C1055" s="111"/>
      <c r="D1055" s="111"/>
      <c r="E1055" s="111"/>
      <c r="F1055" s="111"/>
      <c r="G1055" s="111"/>
      <c r="H1055" s="111"/>
      <c r="I1055" s="111"/>
      <c r="J1055" s="111"/>
      <c r="K1055" s="111"/>
      <c r="L1055" s="111"/>
      <c r="M1055" s="111"/>
      <c r="N1055" s="111"/>
      <c r="O1055" s="111"/>
      <c r="P1055" s="111"/>
      <c r="Q1055" s="139"/>
      <c r="R1055" s="113"/>
      <c r="S1055" s="113"/>
      <c r="T1055" s="113"/>
      <c r="U1055" s="114"/>
      <c r="V1055" s="115"/>
      <c r="W1055" s="116"/>
      <c r="X1055" s="117"/>
      <c r="Y1055" s="111"/>
      <c r="Z1055" s="111"/>
      <c r="AH1055" s="5"/>
      <c r="AI1055" s="5"/>
      <c r="AJ1055" s="5"/>
      <c r="AK1055" s="5"/>
      <c r="AL1055" s="5"/>
      <c r="AM1055" s="5"/>
      <c r="AN1055" s="5"/>
    </row>
    <row r="1056" spans="1:40">
      <c r="A1056" s="111"/>
      <c r="B1056" s="111"/>
      <c r="C1056" s="111"/>
      <c r="D1056" s="111"/>
      <c r="E1056" s="111"/>
      <c r="F1056" s="111"/>
      <c r="G1056" s="111"/>
      <c r="H1056" s="111"/>
      <c r="I1056" s="111"/>
      <c r="J1056" s="111"/>
      <c r="K1056" s="111"/>
      <c r="L1056" s="111"/>
      <c r="M1056" s="111"/>
      <c r="N1056" s="111"/>
      <c r="O1056" s="111"/>
      <c r="P1056" s="111"/>
      <c r="Q1056" s="139"/>
      <c r="R1056" s="113"/>
      <c r="S1056" s="113"/>
      <c r="T1056" s="113"/>
      <c r="U1056" s="114"/>
      <c r="V1056" s="115"/>
      <c r="W1056" s="116"/>
      <c r="X1056" s="117"/>
      <c r="Y1056" s="111"/>
      <c r="Z1056" s="111"/>
      <c r="AH1056" s="5"/>
      <c r="AI1056" s="5"/>
      <c r="AJ1056" s="5"/>
      <c r="AK1056" s="5"/>
      <c r="AL1056" s="5"/>
      <c r="AM1056" s="5"/>
      <c r="AN1056" s="5"/>
    </row>
    <row r="1057" spans="1:40">
      <c r="A1057" s="111"/>
      <c r="B1057" s="111"/>
      <c r="C1057" s="111"/>
      <c r="D1057" s="111"/>
      <c r="E1057" s="111"/>
      <c r="F1057" s="111"/>
      <c r="G1057" s="111"/>
      <c r="H1057" s="111"/>
      <c r="I1057" s="111"/>
      <c r="J1057" s="111"/>
      <c r="K1057" s="111"/>
      <c r="L1057" s="111"/>
      <c r="M1057" s="111"/>
      <c r="N1057" s="111"/>
      <c r="O1057" s="111"/>
      <c r="P1057" s="111"/>
      <c r="Q1057" s="139"/>
      <c r="R1057" s="113"/>
      <c r="S1057" s="113"/>
      <c r="T1057" s="113"/>
      <c r="U1057" s="114"/>
      <c r="V1057" s="115"/>
      <c r="W1057" s="116"/>
      <c r="X1057" s="117"/>
      <c r="Y1057" s="111"/>
      <c r="Z1057" s="111"/>
      <c r="AH1057" s="5"/>
      <c r="AI1057" s="5"/>
      <c r="AJ1057" s="5"/>
      <c r="AK1057" s="5"/>
      <c r="AL1057" s="5"/>
      <c r="AM1057" s="5"/>
      <c r="AN1057" s="5"/>
    </row>
    <row r="1058" spans="1:40">
      <c r="A1058" s="111"/>
      <c r="B1058" s="111"/>
      <c r="C1058" s="111"/>
      <c r="D1058" s="111"/>
      <c r="E1058" s="111"/>
      <c r="F1058" s="111"/>
      <c r="G1058" s="111"/>
      <c r="H1058" s="111"/>
      <c r="I1058" s="111"/>
      <c r="J1058" s="111"/>
      <c r="K1058" s="111"/>
      <c r="L1058" s="111"/>
      <c r="M1058" s="111"/>
      <c r="N1058" s="111"/>
      <c r="O1058" s="111"/>
      <c r="P1058" s="111"/>
      <c r="Q1058" s="139"/>
      <c r="R1058" s="113"/>
      <c r="S1058" s="113"/>
      <c r="T1058" s="113"/>
      <c r="U1058" s="114"/>
      <c r="V1058" s="115"/>
      <c r="W1058" s="116"/>
      <c r="X1058" s="117"/>
      <c r="Y1058" s="111"/>
      <c r="Z1058" s="111"/>
      <c r="AH1058" s="5"/>
      <c r="AI1058" s="5"/>
      <c r="AJ1058" s="5"/>
      <c r="AK1058" s="5"/>
      <c r="AL1058" s="5"/>
      <c r="AM1058" s="5"/>
      <c r="AN1058" s="5"/>
    </row>
    <row r="1059" spans="1:40">
      <c r="A1059" s="111"/>
      <c r="B1059" s="111"/>
      <c r="C1059" s="111"/>
      <c r="D1059" s="111"/>
      <c r="E1059" s="111"/>
      <c r="F1059" s="111"/>
      <c r="G1059" s="111"/>
      <c r="H1059" s="111"/>
      <c r="I1059" s="111"/>
      <c r="J1059" s="111"/>
      <c r="K1059" s="111"/>
      <c r="L1059" s="111"/>
      <c r="M1059" s="111"/>
      <c r="N1059" s="111"/>
      <c r="O1059" s="111"/>
      <c r="P1059" s="111"/>
      <c r="Q1059" s="139"/>
      <c r="R1059" s="113"/>
      <c r="S1059" s="113"/>
      <c r="T1059" s="113"/>
      <c r="U1059" s="114"/>
      <c r="V1059" s="115"/>
      <c r="W1059" s="116"/>
      <c r="X1059" s="117"/>
      <c r="Y1059" s="111"/>
      <c r="Z1059" s="111"/>
      <c r="AH1059" s="5"/>
      <c r="AI1059" s="5"/>
      <c r="AJ1059" s="5"/>
      <c r="AK1059" s="5"/>
      <c r="AL1059" s="5"/>
      <c r="AM1059" s="5"/>
      <c r="AN1059" s="5"/>
    </row>
  </sheetData>
  <dataValidations count="1">
    <dataValidation type="list" allowBlank="1" showErrorMessage="1" sqref="U2:U32" xr:uid="{00000000-0002-0000-0800-000002000000}">
      <formula1>"Yes,No"</formula1>
    </dataValidation>
  </dataValidations>
  <hyperlinks>
    <hyperlink ref="F2" r:id="rId1" xr:uid="{00000000-0004-0000-0800-000000000000}"/>
    <hyperlink ref="F6" r:id="rId2" xr:uid="{00000000-0004-0000-0800-000001000000}"/>
    <hyperlink ref="F13" r:id="rId3" xr:uid="{00000000-0004-0000-0800-000002000000}"/>
    <hyperlink ref="F17" r:id="rId4" xr:uid="{00000000-0004-0000-0800-000003000000}"/>
    <hyperlink ref="F21" r:id="rId5" xr:uid="{00000000-0004-0000-0800-000004000000}"/>
    <hyperlink ref="F22" r:id="rId6" xr:uid="{00000000-0004-0000-0800-000005000000}"/>
    <hyperlink ref="F27" r:id="rId7" xr:uid="{00000000-0004-0000-0800-000006000000}"/>
    <hyperlink ref="F33" r:id="rId8" xr:uid="{00000000-0004-0000-0800-000007000000}"/>
    <hyperlink ref="F41" r:id="rId9" xr:uid="{00000000-0004-0000-0800-000008000000}"/>
    <hyperlink ref="F46" r:id="rId10" xr:uid="{00000000-0004-0000-0800-000009000000}"/>
    <hyperlink ref="F48" r:id="rId11" xr:uid="{00000000-0004-0000-0800-00000A000000}"/>
    <hyperlink ref="F51" r:id="rId12" xr:uid="{00000000-0004-0000-0800-00000B000000}"/>
    <hyperlink ref="F55" r:id="rId13" xr:uid="{00000000-0004-0000-0800-00000C000000}"/>
    <hyperlink ref="F58" r:id="rId14" xr:uid="{00000000-0004-0000-0800-00000D000000}"/>
    <hyperlink ref="F63" r:id="rId15" xr:uid="{00000000-0004-0000-0800-00000E000000}"/>
    <hyperlink ref="F67" r:id="rId16" xr:uid="{00000000-0004-0000-0800-00000F000000}"/>
    <hyperlink ref="F68" r:id="rId17" xr:uid="{00000000-0004-0000-0800-000010000000}"/>
    <hyperlink ref="F73" r:id="rId18" xr:uid="{00000000-0004-0000-0800-000011000000}"/>
    <hyperlink ref="F75" r:id="rId19" xr:uid="{00000000-0004-0000-0800-000012000000}"/>
    <hyperlink ref="F78" r:id="rId20" xr:uid="{00000000-0004-0000-0800-000013000000}"/>
  </hyperlinks>
  <pageMargins left="0.7" right="0.7" top="0.75" bottom="0.75" header="0.3" footer="0.3"/>
  <drawing r:id="rId21"/>
  <legacyDrawing r:id="rId22"/>
  <extLst>
    <ext xmlns:x14="http://schemas.microsoft.com/office/spreadsheetml/2009/9/main" uri="{CCE6A557-97BC-4b89-ADB6-D9C93CAAB3DF}">
      <x14:dataValidations xmlns:xm="http://schemas.microsoft.com/office/excel/2006/main" count="6">
        <x14:dataValidation type="list" allowBlank="1" xr:uid="{00000000-0002-0000-0800-000000000000}">
          <x14:formula1>
            <xm:f>Fields!$F$2:$F$4</xm:f>
          </x14:formula1>
          <xm:sqref>C2:C74 C76:C77 C79:C762</xm:sqref>
        </x14:dataValidation>
        <x14:dataValidation type="list" allowBlank="1" xr:uid="{00000000-0002-0000-0800-000001000000}">
          <x14:formula1>
            <xm:f>Fields!$F$2:$F$8</xm:f>
          </x14:formula1>
          <xm:sqref>C75 C78</xm:sqref>
        </x14:dataValidation>
        <x14:dataValidation type="list" allowBlank="1" xr:uid="{00000000-0002-0000-0800-000003000000}">
          <x14:formula1>
            <xm:f>Fields!$D$2:$D$10</xm:f>
          </x14:formula1>
          <xm:sqref>B75 B78</xm:sqref>
        </x14:dataValidation>
        <x14:dataValidation type="list" allowBlank="1" xr:uid="{00000000-0002-0000-0800-000004000000}">
          <x14:formula1>
            <xm:f>Fields!$D$2:$D$4</xm:f>
          </x14:formula1>
          <xm:sqref>B46 B48</xm:sqref>
        </x14:dataValidation>
        <x14:dataValidation type="list" allowBlank="1" xr:uid="{00000000-0002-0000-0800-000005000000}">
          <x14:formula1>
            <xm:f>Fields!$A$2:$A$8</xm:f>
          </x14:formula1>
          <xm:sqref>D46:D82</xm:sqref>
        </x14:dataValidation>
        <x14:dataValidation type="list" allowBlank="1" xr:uid="{00000000-0002-0000-0800-000006000000}">
          <x14:formula1>
            <xm:f>Fields!$D$2:$D$6</xm:f>
          </x14:formula1>
          <xm:sqref>B51 B55:B58 B63:B73</xm:sqref>
        </x14:dataValidation>
      </x14:dataValidations>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I1066"/>
  <sheetViews>
    <sheetView workbookViewId="0">
      <pane ySplit="1" topLeftCell="A2" activePane="bottomLeft" state="frozen"/>
      <selection pane="bottomLeft" activeCell="B3" sqref="B3"/>
    </sheetView>
  </sheetViews>
  <sheetFormatPr defaultColWidth="12.5703125" defaultRowHeight="15" customHeight="1"/>
  <cols>
    <col min="1" max="1" width="5.140625" customWidth="1"/>
    <col min="2" max="2" width="6.28515625" customWidth="1"/>
    <col min="3" max="3" width="5.42578125" customWidth="1"/>
    <col min="4" max="4" width="11.28515625" customWidth="1"/>
    <col min="5" max="5" width="3.140625" customWidth="1"/>
    <col min="6" max="6" width="24.42578125" customWidth="1"/>
    <col min="7" max="7" width="24.85546875" customWidth="1"/>
    <col min="8" max="8" width="12.42578125" customWidth="1"/>
    <col min="9" max="10" width="7.42578125" customWidth="1"/>
    <col min="11" max="11" width="6.42578125" customWidth="1"/>
    <col min="12" max="12" width="8.42578125" customWidth="1"/>
    <col min="13" max="14" width="6.42578125" customWidth="1"/>
    <col min="15" max="16" width="7.42578125" customWidth="1"/>
    <col min="17" max="17" width="18.28515625" customWidth="1"/>
    <col min="18" max="18" width="5.7109375" customWidth="1"/>
    <col min="19" max="19" width="5.5703125" customWidth="1"/>
    <col min="20" max="20" width="6.5703125" customWidth="1"/>
    <col min="21" max="21" width="6.85546875" customWidth="1"/>
    <col min="22" max="22" width="7.7109375" customWidth="1"/>
    <col min="23" max="23" width="6.5703125" customWidth="1"/>
    <col min="24" max="24" width="7.5703125" customWidth="1"/>
    <col min="25" max="26" width="42.85546875" customWidth="1"/>
    <col min="27" max="33" width="11" customWidth="1"/>
    <col min="34" max="35" width="31.85546875" customWidth="1"/>
  </cols>
  <sheetData>
    <row r="1" spans="1:35" ht="45" customHeight="1">
      <c r="A1" s="31" t="s">
        <v>9</v>
      </c>
      <c r="B1" s="66" t="str">
        <f>HYPERLINK("#rangeid=2086300674","Content Owner")</f>
        <v>Content Owner</v>
      </c>
      <c r="C1" s="67" t="str">
        <f>HYPERLINK("#rangeid=632369931","Video Owner")</f>
        <v>Video Owner</v>
      </c>
      <c r="D1" s="36" t="s">
        <v>87</v>
      </c>
      <c r="E1" s="37" t="s">
        <v>221</v>
      </c>
      <c r="F1" s="38" t="s">
        <v>223</v>
      </c>
      <c r="G1" s="31" t="s">
        <v>230</v>
      </c>
      <c r="H1" s="68" t="str">
        <f>HYPERLINK("#rangeid=906849400","Description")</f>
        <v>Description</v>
      </c>
      <c r="I1" s="41" t="s">
        <v>233</v>
      </c>
      <c r="J1" s="31" t="s">
        <v>234</v>
      </c>
      <c r="K1" s="42" t="s">
        <v>235</v>
      </c>
      <c r="L1" s="31" t="s">
        <v>236</v>
      </c>
      <c r="M1" s="31" t="s">
        <v>237</v>
      </c>
      <c r="N1" s="31" t="s">
        <v>238</v>
      </c>
      <c r="O1" s="31" t="s">
        <v>239</v>
      </c>
      <c r="P1" s="31" t="s">
        <v>240</v>
      </c>
      <c r="Q1" s="31" t="s">
        <v>241</v>
      </c>
      <c r="R1" s="43" t="s">
        <v>242</v>
      </c>
      <c r="S1" s="43" t="s">
        <v>243</v>
      </c>
      <c r="T1" s="43" t="s">
        <v>89</v>
      </c>
      <c r="U1" s="44" t="s">
        <v>244</v>
      </c>
      <c r="V1" s="45" t="s">
        <v>245</v>
      </c>
      <c r="W1" s="46" t="str">
        <f>HYPERLINK("#rangeid=120001109","Replay")</f>
        <v>Replay</v>
      </c>
      <c r="X1" s="47" t="s">
        <v>246</v>
      </c>
      <c r="Y1" s="48" t="s">
        <v>247</v>
      </c>
      <c r="Z1" s="49" t="s">
        <v>248</v>
      </c>
      <c r="AA1" s="50"/>
      <c r="AB1" s="50"/>
      <c r="AC1" s="50"/>
      <c r="AD1" s="50"/>
      <c r="AE1" s="50"/>
      <c r="AF1" s="50"/>
      <c r="AG1" s="50"/>
      <c r="AH1" s="50"/>
      <c r="AI1" s="50"/>
    </row>
    <row r="2" spans="1:35">
      <c r="A2" s="51">
        <v>757</v>
      </c>
      <c r="B2" s="51" t="s">
        <v>122</v>
      </c>
      <c r="C2" s="54"/>
      <c r="D2" s="51"/>
      <c r="E2" s="51" t="s">
        <v>1491</v>
      </c>
      <c r="F2" s="55" t="s">
        <v>1493</v>
      </c>
      <c r="G2" s="56"/>
      <c r="H2" s="57"/>
      <c r="I2" s="51"/>
      <c r="J2" s="51">
        <f>11.812*1000</f>
        <v>11812</v>
      </c>
      <c r="K2" s="58">
        <v>5.0972222222222224E-2</v>
      </c>
      <c r="L2" s="59" t="s">
        <v>1495</v>
      </c>
      <c r="M2" s="58"/>
      <c r="N2" s="58"/>
      <c r="O2" s="51"/>
      <c r="P2" s="60"/>
      <c r="Q2" s="37" t="str">
        <f t="shared" ref="Q2:Q40" ca="1" si="0">HYPERLINK(IF(INT(A2)-A2=0,"",REPLACE(INDIRECT("MasterList!e"&amp;INT(A2)+1),25,8,"embed/")&amp;"?start="&amp;HOUR(M2)*3600+MINUTE(M2)*60+SECOND(M2)&amp;"&amp;end="&amp;HOUR(N2)*3600+MINUTE(N2)*60+SECOND(N2)&amp;"&amp;autoplay=1"))</f>
        <v/>
      </c>
      <c r="R2" s="70" t="s">
        <v>94</v>
      </c>
      <c r="S2" s="70" t="s">
        <v>94</v>
      </c>
      <c r="T2" s="70" t="s">
        <v>94</v>
      </c>
      <c r="U2" s="71"/>
      <c r="V2" s="73"/>
      <c r="W2" s="102" t="s">
        <v>292</v>
      </c>
      <c r="X2" s="64"/>
      <c r="Y2" s="51"/>
      <c r="Z2" s="51" t="s">
        <v>1500</v>
      </c>
      <c r="AH2" s="51"/>
      <c r="AI2" s="51"/>
    </row>
    <row r="3" spans="1:35">
      <c r="A3" s="51">
        <v>757.01</v>
      </c>
      <c r="B3" s="51" t="s">
        <v>122</v>
      </c>
      <c r="C3" s="54"/>
      <c r="D3" s="51"/>
      <c r="E3" s="51"/>
      <c r="F3" s="55"/>
      <c r="G3" s="56" t="s">
        <v>1501</v>
      </c>
      <c r="H3" s="76" t="s">
        <v>1503</v>
      </c>
      <c r="I3" s="51"/>
      <c r="J3" s="51"/>
      <c r="K3" s="58"/>
      <c r="L3" s="59"/>
      <c r="M3" s="58">
        <v>6.134259259259259E-4</v>
      </c>
      <c r="N3" s="58">
        <v>1.5740740740740741E-3</v>
      </c>
      <c r="O3" s="58">
        <f t="shared" ref="O3:O14" si="1">N3-M3</f>
        <v>9.6064814814814819E-4</v>
      </c>
      <c r="P3" s="60">
        <v>43007</v>
      </c>
      <c r="Q3" s="79" t="str">
        <f t="shared" ca="1" si="0"/>
        <v>https://www.youtube.com/embed/79r5KYH0nBI?start=53&amp;end=136&amp;autoplay=1</v>
      </c>
      <c r="R3" s="70"/>
      <c r="S3" s="70"/>
      <c r="T3" s="70"/>
      <c r="U3" s="71"/>
      <c r="V3" s="73"/>
      <c r="W3" s="75"/>
      <c r="X3" s="64"/>
      <c r="Y3" s="51"/>
      <c r="Z3" s="51"/>
      <c r="AH3" s="51"/>
      <c r="AI3" s="51"/>
    </row>
    <row r="4" spans="1:35">
      <c r="A4" s="51">
        <v>757.02</v>
      </c>
      <c r="B4" s="51" t="s">
        <v>122</v>
      </c>
      <c r="C4" s="54"/>
      <c r="D4" s="51"/>
      <c r="E4" s="51"/>
      <c r="F4" s="55"/>
      <c r="G4" s="56" t="s">
        <v>1507</v>
      </c>
      <c r="H4" s="57" t="s">
        <v>1508</v>
      </c>
      <c r="I4" s="51"/>
      <c r="J4" s="51"/>
      <c r="K4" s="58"/>
      <c r="L4" s="59"/>
      <c r="M4" s="58">
        <v>2.8703703703703703E-3</v>
      </c>
      <c r="N4" s="58">
        <v>4.6296296296296294E-3</v>
      </c>
      <c r="O4" s="58">
        <f t="shared" si="1"/>
        <v>1.759259259259259E-3</v>
      </c>
      <c r="P4" s="60">
        <v>43007</v>
      </c>
      <c r="Q4" s="79" t="str">
        <f t="shared" ca="1" si="0"/>
        <v>https://www.youtube.com/embed/79r5KYH0nBI?start=248&amp;end=400&amp;autoplay=1</v>
      </c>
      <c r="R4" s="70" t="s">
        <v>94</v>
      </c>
      <c r="S4" s="70" t="s">
        <v>94</v>
      </c>
      <c r="T4" s="70" t="s">
        <v>94</v>
      </c>
      <c r="U4" s="71"/>
      <c r="V4" s="73"/>
      <c r="W4" s="102" t="s">
        <v>292</v>
      </c>
      <c r="X4" s="64"/>
      <c r="Y4" s="51"/>
      <c r="Z4" s="51" t="s">
        <v>1511</v>
      </c>
      <c r="AH4" s="51"/>
      <c r="AI4" s="51"/>
    </row>
    <row r="5" spans="1:35">
      <c r="A5" s="51">
        <v>757.03</v>
      </c>
      <c r="B5" s="51" t="s">
        <v>122</v>
      </c>
      <c r="C5" s="54"/>
      <c r="D5" s="51"/>
      <c r="E5" s="51"/>
      <c r="F5" s="55"/>
      <c r="G5" s="56" t="s">
        <v>1512</v>
      </c>
      <c r="H5" s="57" t="s">
        <v>1513</v>
      </c>
      <c r="I5" s="51"/>
      <c r="J5" s="51"/>
      <c r="K5" s="58"/>
      <c r="L5" s="59"/>
      <c r="M5" s="58">
        <v>4.7222222222222223E-3</v>
      </c>
      <c r="N5" s="58">
        <v>5.7291666666666663E-3</v>
      </c>
      <c r="O5" s="58">
        <f t="shared" si="1"/>
        <v>1.006944444444444E-3</v>
      </c>
      <c r="P5" s="60">
        <v>43007</v>
      </c>
      <c r="Q5" s="79" t="str">
        <f t="shared" ca="1" si="0"/>
        <v>https://www.youtube.com/embed/79r5KYH0nBI?start=408&amp;end=495&amp;autoplay=1</v>
      </c>
      <c r="R5" s="70" t="s">
        <v>94</v>
      </c>
      <c r="S5" s="70" t="s">
        <v>94</v>
      </c>
      <c r="T5" s="70" t="s">
        <v>94</v>
      </c>
      <c r="U5" s="71"/>
      <c r="V5" s="73"/>
      <c r="W5" s="102" t="s">
        <v>292</v>
      </c>
      <c r="X5" s="64"/>
      <c r="Y5" s="51"/>
      <c r="Z5" s="51" t="s">
        <v>1514</v>
      </c>
      <c r="AH5" s="51"/>
      <c r="AI5" s="51"/>
    </row>
    <row r="6" spans="1:35">
      <c r="A6" s="51">
        <v>757.04</v>
      </c>
      <c r="B6" s="51" t="s">
        <v>122</v>
      </c>
      <c r="C6" s="54"/>
      <c r="D6" s="51"/>
      <c r="E6" s="51"/>
      <c r="F6" s="55"/>
      <c r="G6" s="56" t="s">
        <v>1515</v>
      </c>
      <c r="H6" s="57" t="s">
        <v>1517</v>
      </c>
      <c r="I6" s="51"/>
      <c r="J6" s="51"/>
      <c r="K6" s="58"/>
      <c r="L6" s="59"/>
      <c r="M6" s="58">
        <v>5.9606481481481481E-3</v>
      </c>
      <c r="N6" s="58">
        <v>9.2361111111111116E-3</v>
      </c>
      <c r="O6" s="58">
        <f t="shared" si="1"/>
        <v>3.2754629629629635E-3</v>
      </c>
      <c r="P6" s="60">
        <v>43007</v>
      </c>
      <c r="Q6" s="79" t="str">
        <f t="shared" ca="1" si="0"/>
        <v>https://www.youtube.com/embed/79r5KYH0nBI?start=515&amp;end=798&amp;autoplay=1</v>
      </c>
      <c r="R6" s="70" t="s">
        <v>94</v>
      </c>
      <c r="S6" s="70" t="s">
        <v>94</v>
      </c>
      <c r="T6" s="70" t="s">
        <v>94</v>
      </c>
      <c r="U6" s="71"/>
      <c r="V6" s="73"/>
      <c r="W6" s="102" t="s">
        <v>292</v>
      </c>
      <c r="X6" s="64"/>
      <c r="Y6" s="51"/>
      <c r="Z6" s="51" t="s">
        <v>1519</v>
      </c>
      <c r="AH6" s="51"/>
      <c r="AI6" s="51"/>
    </row>
    <row r="7" spans="1:35">
      <c r="A7" s="51">
        <v>757.05</v>
      </c>
      <c r="B7" s="51" t="s">
        <v>122</v>
      </c>
      <c r="C7" s="54"/>
      <c r="D7" s="51"/>
      <c r="E7" s="51"/>
      <c r="F7" s="55"/>
      <c r="G7" s="65" t="s">
        <v>1520</v>
      </c>
      <c r="H7" s="57" t="s">
        <v>1521</v>
      </c>
      <c r="I7" s="51"/>
      <c r="J7" s="51"/>
      <c r="K7" s="58"/>
      <c r="L7" s="59"/>
      <c r="M7" s="58">
        <v>9.2361111111111116E-3</v>
      </c>
      <c r="N7" s="58">
        <v>1.0416666666666666E-2</v>
      </c>
      <c r="O7" s="58">
        <f t="shared" si="1"/>
        <v>1.1805555555555545E-3</v>
      </c>
      <c r="P7" s="60">
        <v>43007</v>
      </c>
      <c r="Q7" s="79" t="str">
        <f t="shared" ca="1" si="0"/>
        <v>https://www.youtube.com/embed/79r5KYH0nBI?start=798&amp;end=900&amp;autoplay=1</v>
      </c>
      <c r="R7" s="70" t="s">
        <v>94</v>
      </c>
      <c r="S7" s="70" t="s">
        <v>94</v>
      </c>
      <c r="T7" s="70" t="s">
        <v>94</v>
      </c>
      <c r="U7" s="71"/>
      <c r="V7" s="73"/>
      <c r="W7" s="102" t="s">
        <v>292</v>
      </c>
      <c r="X7" s="64"/>
      <c r="Y7" s="51"/>
      <c r="Z7" s="51" t="s">
        <v>1524</v>
      </c>
      <c r="AH7" s="51"/>
      <c r="AI7" s="51"/>
    </row>
    <row r="8" spans="1:35">
      <c r="A8" s="51">
        <v>757.06</v>
      </c>
      <c r="B8" s="51" t="s">
        <v>122</v>
      </c>
      <c r="C8" s="54"/>
      <c r="D8" s="51"/>
      <c r="E8" s="51"/>
      <c r="F8" s="55"/>
      <c r="G8" s="56" t="s">
        <v>1525</v>
      </c>
      <c r="H8" s="57" t="s">
        <v>1526</v>
      </c>
      <c r="I8" s="51"/>
      <c r="J8" s="51"/>
      <c r="K8" s="58"/>
      <c r="L8" s="59"/>
      <c r="M8" s="58">
        <v>1.0914351851851852E-2</v>
      </c>
      <c r="N8" s="58">
        <v>1.361111111111111E-2</v>
      </c>
      <c r="O8" s="58">
        <f t="shared" si="1"/>
        <v>2.6967592592592581E-3</v>
      </c>
      <c r="P8" s="60">
        <v>43007</v>
      </c>
      <c r="Q8" s="79" t="str">
        <f t="shared" ca="1" si="0"/>
        <v>https://www.youtube.com/embed/79r5KYH0nBI?start=943&amp;end=1176&amp;autoplay=1</v>
      </c>
      <c r="R8" s="70" t="s">
        <v>94</v>
      </c>
      <c r="S8" s="70" t="s">
        <v>94</v>
      </c>
      <c r="T8" s="70" t="s">
        <v>94</v>
      </c>
      <c r="U8" s="71"/>
      <c r="V8" s="73"/>
      <c r="W8" s="102" t="s">
        <v>292</v>
      </c>
      <c r="X8" s="64"/>
      <c r="Y8" s="51"/>
      <c r="Z8" s="51" t="s">
        <v>1527</v>
      </c>
      <c r="AH8" s="51"/>
      <c r="AI8" s="51"/>
    </row>
    <row r="9" spans="1:35">
      <c r="A9" s="51">
        <v>757.07</v>
      </c>
      <c r="B9" s="51" t="s">
        <v>122</v>
      </c>
      <c r="C9" s="54"/>
      <c r="D9" s="51"/>
      <c r="E9" s="51"/>
      <c r="F9" s="55"/>
      <c r="G9" s="56" t="s">
        <v>1528</v>
      </c>
      <c r="H9" s="76"/>
      <c r="I9" s="51"/>
      <c r="J9" s="51"/>
      <c r="K9" s="58"/>
      <c r="L9" s="59"/>
      <c r="M9" s="58">
        <v>1.6006944444444445E-2</v>
      </c>
      <c r="N9" s="58">
        <v>1.9351851851851853E-2</v>
      </c>
      <c r="O9" s="58">
        <f t="shared" si="1"/>
        <v>3.3449074074074076E-3</v>
      </c>
      <c r="P9" s="60">
        <v>43007</v>
      </c>
      <c r="Q9" s="79" t="str">
        <f t="shared" ca="1" si="0"/>
        <v>https://www.youtube.com/embed/79r5KYH0nBI?start=1383&amp;end=1672&amp;autoplay=1</v>
      </c>
      <c r="R9" s="70" t="s">
        <v>94</v>
      </c>
      <c r="S9" s="70" t="s">
        <v>94</v>
      </c>
      <c r="T9" s="70" t="s">
        <v>94</v>
      </c>
      <c r="U9" s="71"/>
      <c r="V9" s="73"/>
      <c r="W9" s="102" t="s">
        <v>292</v>
      </c>
      <c r="X9" s="64"/>
      <c r="Y9" s="51"/>
      <c r="Z9" s="51" t="s">
        <v>1527</v>
      </c>
      <c r="AH9" s="51"/>
      <c r="AI9" s="51"/>
    </row>
    <row r="10" spans="1:35">
      <c r="A10" s="54">
        <v>757.08</v>
      </c>
      <c r="B10" s="51" t="s">
        <v>122</v>
      </c>
      <c r="C10" s="54"/>
      <c r="D10" s="51"/>
      <c r="E10" s="51"/>
      <c r="F10" s="55"/>
      <c r="G10" s="56" t="s">
        <v>1531</v>
      </c>
      <c r="H10" s="57" t="s">
        <v>1532</v>
      </c>
      <c r="I10" s="51"/>
      <c r="J10" s="51"/>
      <c r="K10" s="58"/>
      <c r="L10" s="59"/>
      <c r="M10" s="58">
        <v>2.0196759259259258E-2</v>
      </c>
      <c r="N10" s="58">
        <v>2.329861111111111E-2</v>
      </c>
      <c r="O10" s="77">
        <f t="shared" si="1"/>
        <v>3.1018518518518522E-3</v>
      </c>
      <c r="P10" s="60">
        <v>43007</v>
      </c>
      <c r="Q10" s="79" t="str">
        <f t="shared" ca="1" si="0"/>
        <v>https://www.youtube.com/embed/79r5KYH0nBI?start=1745&amp;end=2013&amp;autoplay=1</v>
      </c>
      <c r="R10" s="70" t="s">
        <v>94</v>
      </c>
      <c r="S10" s="70" t="s">
        <v>94</v>
      </c>
      <c r="T10" s="70" t="s">
        <v>94</v>
      </c>
      <c r="U10" s="71"/>
      <c r="V10" s="73"/>
      <c r="W10" s="102" t="s">
        <v>292</v>
      </c>
      <c r="X10" s="64"/>
      <c r="Y10" s="51"/>
      <c r="Z10" s="51" t="s">
        <v>1535</v>
      </c>
      <c r="AH10" s="51"/>
      <c r="AI10" s="51"/>
    </row>
    <row r="11" spans="1:35">
      <c r="A11" s="51">
        <v>757.09</v>
      </c>
      <c r="B11" s="51" t="s">
        <v>122</v>
      </c>
      <c r="C11" s="54"/>
      <c r="D11" s="51"/>
      <c r="E11" s="51"/>
      <c r="F11" s="55"/>
      <c r="G11" s="56" t="s">
        <v>1536</v>
      </c>
      <c r="H11" s="57" t="s">
        <v>1537</v>
      </c>
      <c r="I11" s="51"/>
      <c r="J11" s="51"/>
      <c r="K11" s="58"/>
      <c r="L11" s="59"/>
      <c r="M11" s="58">
        <v>2.4305555555555556E-2</v>
      </c>
      <c r="N11" s="58">
        <v>2.6388888888888889E-2</v>
      </c>
      <c r="O11" s="58">
        <f t="shared" si="1"/>
        <v>2.0833333333333329E-3</v>
      </c>
      <c r="P11" s="60">
        <v>43007</v>
      </c>
      <c r="Q11" s="79" t="str">
        <f t="shared" ca="1" si="0"/>
        <v>https://www.youtube.com/embed/79r5KYH0nBI?start=2100&amp;end=2280&amp;autoplay=1</v>
      </c>
      <c r="R11" s="70" t="s">
        <v>94</v>
      </c>
      <c r="S11" s="70" t="s">
        <v>94</v>
      </c>
      <c r="T11" s="70" t="s">
        <v>94</v>
      </c>
      <c r="U11" s="71"/>
      <c r="V11" s="73"/>
      <c r="W11" s="102" t="s">
        <v>292</v>
      </c>
      <c r="X11" s="64"/>
      <c r="Y11" s="51"/>
      <c r="Z11" s="51" t="s">
        <v>1538</v>
      </c>
      <c r="AH11" s="51"/>
      <c r="AI11" s="51"/>
    </row>
    <row r="12" spans="1:35">
      <c r="A12" s="51">
        <v>757.1</v>
      </c>
      <c r="B12" s="51" t="s">
        <v>122</v>
      </c>
      <c r="C12" s="54"/>
      <c r="D12" s="51"/>
      <c r="E12" s="51"/>
      <c r="F12" s="55"/>
      <c r="G12" s="56" t="s">
        <v>1539</v>
      </c>
      <c r="H12" s="57"/>
      <c r="I12" s="51"/>
      <c r="J12" s="51"/>
      <c r="K12" s="58"/>
      <c r="L12" s="59"/>
      <c r="M12" s="58">
        <v>2.6412037037037036E-2</v>
      </c>
      <c r="N12" s="58">
        <v>2.9085648148148149E-2</v>
      </c>
      <c r="O12" s="58">
        <f t="shared" si="1"/>
        <v>2.6736111111111127E-3</v>
      </c>
      <c r="P12" s="60">
        <v>43007</v>
      </c>
      <c r="Q12" s="79" t="str">
        <f t="shared" ca="1" si="0"/>
        <v>https://www.youtube.com/embed/79r5KYH0nBI?start=2282&amp;end=2513&amp;autoplay=1</v>
      </c>
      <c r="R12" s="70" t="s">
        <v>94</v>
      </c>
      <c r="S12" s="70" t="s">
        <v>94</v>
      </c>
      <c r="T12" s="70" t="s">
        <v>94</v>
      </c>
      <c r="U12" s="71"/>
      <c r="V12" s="73"/>
      <c r="W12" s="102" t="s">
        <v>292</v>
      </c>
      <c r="X12" s="64"/>
      <c r="Y12" s="51"/>
      <c r="Z12" s="51"/>
      <c r="AH12" s="51"/>
      <c r="AI12" s="51"/>
    </row>
    <row r="13" spans="1:35">
      <c r="A13" s="54">
        <v>757.11</v>
      </c>
      <c r="B13" s="51" t="s">
        <v>122</v>
      </c>
      <c r="C13" s="54"/>
      <c r="D13" s="51"/>
      <c r="E13" s="51"/>
      <c r="F13" s="55"/>
      <c r="G13" s="56" t="s">
        <v>1542</v>
      </c>
      <c r="H13" s="57"/>
      <c r="I13" s="51"/>
      <c r="J13" s="51"/>
      <c r="K13" s="58"/>
      <c r="L13" s="59"/>
      <c r="M13" s="58">
        <v>2.9108796296296296E-2</v>
      </c>
      <c r="N13" s="58">
        <v>3.1226851851851853E-2</v>
      </c>
      <c r="O13" s="77">
        <f t="shared" si="1"/>
        <v>2.1180555555555571E-3</v>
      </c>
      <c r="P13" s="60">
        <v>43007</v>
      </c>
      <c r="Q13" s="79" t="str">
        <f t="shared" ca="1" si="0"/>
        <v>https://www.youtube.com/embed/79r5KYH0nBI?start=2515&amp;end=2698&amp;autoplay=1</v>
      </c>
      <c r="R13" s="70" t="s">
        <v>94</v>
      </c>
      <c r="S13" s="70" t="s">
        <v>94</v>
      </c>
      <c r="T13" s="70" t="s">
        <v>94</v>
      </c>
      <c r="U13" s="71"/>
      <c r="V13" s="73"/>
      <c r="W13" s="102" t="s">
        <v>292</v>
      </c>
      <c r="X13" s="64"/>
      <c r="Y13" s="51"/>
      <c r="Z13" s="51"/>
      <c r="AH13" s="51"/>
      <c r="AI13" s="51"/>
    </row>
    <row r="14" spans="1:35">
      <c r="A14" s="51">
        <v>757.12</v>
      </c>
      <c r="B14" s="51" t="s">
        <v>122</v>
      </c>
      <c r="C14" s="54"/>
      <c r="D14" s="51"/>
      <c r="E14" s="51"/>
      <c r="F14" s="55"/>
      <c r="G14" s="80" t="s">
        <v>1545</v>
      </c>
      <c r="H14" s="76" t="s">
        <v>1546</v>
      </c>
      <c r="I14" s="51"/>
      <c r="J14" s="51"/>
      <c r="K14" s="58"/>
      <c r="L14" s="59"/>
      <c r="M14" s="58">
        <v>3.125E-2</v>
      </c>
      <c r="N14" s="58">
        <v>3.1226851851851853E-2</v>
      </c>
      <c r="O14" s="77">
        <f t="shared" si="1"/>
        <v>-2.3148148148147141E-5</v>
      </c>
      <c r="P14" s="60">
        <v>43007</v>
      </c>
      <c r="Q14" s="79" t="str">
        <f t="shared" ca="1" si="0"/>
        <v>https://www.youtube.com/embed/79r5KYH0nBI?start=2700&amp;end=2698&amp;autoplay=1</v>
      </c>
      <c r="R14" s="70" t="s">
        <v>94</v>
      </c>
      <c r="S14" s="70" t="s">
        <v>94</v>
      </c>
      <c r="T14" s="70" t="s">
        <v>94</v>
      </c>
      <c r="U14" s="71"/>
      <c r="V14" s="73"/>
      <c r="W14" s="102" t="s">
        <v>292</v>
      </c>
      <c r="X14" s="64"/>
      <c r="Y14" s="51"/>
      <c r="Z14" s="51"/>
      <c r="AH14" s="51"/>
      <c r="AI14" s="51"/>
    </row>
    <row r="15" spans="1:35">
      <c r="A15" s="51">
        <v>39</v>
      </c>
      <c r="B15" s="54" t="s">
        <v>122</v>
      </c>
      <c r="C15" s="54"/>
      <c r="D15" s="54" t="s">
        <v>120</v>
      </c>
      <c r="E15" s="51" t="s">
        <v>366</v>
      </c>
      <c r="F15" s="55" t="s">
        <v>367</v>
      </c>
      <c r="G15" s="56"/>
      <c r="H15" s="57"/>
      <c r="I15" s="51"/>
      <c r="J15" s="51">
        <f>5.9*1000</f>
        <v>5900</v>
      </c>
      <c r="K15" s="58">
        <v>6.5740740740740733E-3</v>
      </c>
      <c r="L15" s="59" t="s">
        <v>251</v>
      </c>
      <c r="M15" s="77"/>
      <c r="N15" s="77"/>
      <c r="O15" s="51"/>
      <c r="P15" s="100"/>
      <c r="Q15" s="37" t="str">
        <f t="shared" ca="1" si="0"/>
        <v/>
      </c>
      <c r="R15" s="69"/>
      <c r="S15" s="69"/>
      <c r="T15" s="52"/>
      <c r="U15" s="61"/>
      <c r="V15" s="62"/>
      <c r="W15" s="63"/>
      <c r="X15" s="64"/>
      <c r="Y15" s="51"/>
      <c r="Z15" s="51"/>
      <c r="AA15" s="51"/>
      <c r="AB15" s="51"/>
      <c r="AH15" s="51"/>
      <c r="AI15" s="51"/>
    </row>
    <row r="16" spans="1:35">
      <c r="A16" s="54">
        <v>39.01</v>
      </c>
      <c r="B16" s="51"/>
      <c r="C16" s="54"/>
      <c r="D16" s="51"/>
      <c r="E16" s="51"/>
      <c r="F16" s="55"/>
      <c r="G16" s="54" t="s">
        <v>1553</v>
      </c>
      <c r="H16" s="76" t="s">
        <v>1554</v>
      </c>
      <c r="I16" s="51"/>
      <c r="J16" s="51"/>
      <c r="K16" s="58"/>
      <c r="L16" s="59"/>
      <c r="M16" s="101">
        <v>5.6712962962962967E-4</v>
      </c>
      <c r="N16" s="101">
        <v>1.8518518518518519E-3</v>
      </c>
      <c r="O16" s="58">
        <f t="shared" ref="O16:O17" si="2">N16-M16</f>
        <v>1.2847222222222223E-3</v>
      </c>
      <c r="P16" s="96">
        <v>43015</v>
      </c>
      <c r="Q16" s="79" t="str">
        <f t="shared" ca="1" si="0"/>
        <v>https://www.youtube.com/embed/iS7CE9mrtI4?start=49&amp;end=160&amp;autoplay=1</v>
      </c>
      <c r="R16" s="69" t="s">
        <v>94</v>
      </c>
      <c r="S16" s="69" t="s">
        <v>116</v>
      </c>
      <c r="T16" s="74" t="s">
        <v>94</v>
      </c>
      <c r="U16" s="71"/>
      <c r="V16" s="73"/>
      <c r="W16" s="102" t="s">
        <v>292</v>
      </c>
      <c r="X16" s="64"/>
      <c r="Y16" s="51"/>
      <c r="Z16" s="54" t="s">
        <v>1558</v>
      </c>
      <c r="AH16" s="51"/>
      <c r="AI16" s="51"/>
    </row>
    <row r="17" spans="1:35">
      <c r="A17" s="54">
        <v>39.020000000000003</v>
      </c>
      <c r="B17" s="51"/>
      <c r="C17" s="54"/>
      <c r="D17" s="51"/>
      <c r="E17" s="51"/>
      <c r="F17" s="55"/>
      <c r="G17" s="80" t="s">
        <v>1560</v>
      </c>
      <c r="H17" s="76" t="s">
        <v>1561</v>
      </c>
      <c r="I17" s="51"/>
      <c r="J17" s="51"/>
      <c r="K17" s="58"/>
      <c r="L17" s="59"/>
      <c r="M17" s="101">
        <v>2.1875000000000002E-3</v>
      </c>
      <c r="N17" s="101">
        <v>6.5509259259259262E-3</v>
      </c>
      <c r="O17" s="58">
        <f t="shared" si="2"/>
        <v>4.363425925925926E-3</v>
      </c>
      <c r="P17" s="96">
        <v>43015</v>
      </c>
      <c r="Q17" s="79" t="str">
        <f t="shared" ca="1" si="0"/>
        <v>https://www.youtube.com/embed/iS7CE9mrtI4?start=189&amp;end=566&amp;autoplay=1</v>
      </c>
      <c r="R17" s="74" t="s">
        <v>94</v>
      </c>
      <c r="S17" s="74" t="s">
        <v>116</v>
      </c>
      <c r="T17" s="70" t="s">
        <v>94</v>
      </c>
      <c r="U17" s="71"/>
      <c r="V17" s="73"/>
      <c r="W17" s="102" t="s">
        <v>292</v>
      </c>
      <c r="X17" s="64"/>
      <c r="Y17" s="51"/>
      <c r="Z17" s="54" t="s">
        <v>1558</v>
      </c>
      <c r="AH17" s="51"/>
      <c r="AI17" s="51"/>
    </row>
    <row r="18" spans="1:35">
      <c r="A18" s="51">
        <v>40</v>
      </c>
      <c r="B18" s="69" t="s">
        <v>122</v>
      </c>
      <c r="C18" s="61"/>
      <c r="D18" s="54" t="s">
        <v>120</v>
      </c>
      <c r="E18" s="51" t="s">
        <v>371</v>
      </c>
      <c r="F18" s="55" t="s">
        <v>373</v>
      </c>
      <c r="G18" s="56"/>
      <c r="H18" s="57"/>
      <c r="I18" s="51"/>
      <c r="J18" s="51">
        <f>3*1000</f>
        <v>3000</v>
      </c>
      <c r="K18" s="58">
        <v>3.1944444444444442E-3</v>
      </c>
      <c r="L18" s="59" t="s">
        <v>251</v>
      </c>
      <c r="M18" s="77"/>
      <c r="N18" s="77"/>
      <c r="O18" s="51"/>
      <c r="P18" s="96">
        <v>43015</v>
      </c>
      <c r="Q18" s="37" t="str">
        <f t="shared" ca="1" si="0"/>
        <v/>
      </c>
      <c r="R18" s="52"/>
      <c r="S18" s="52"/>
      <c r="T18" s="52"/>
      <c r="U18" s="61"/>
      <c r="V18" s="62"/>
      <c r="W18" s="63"/>
      <c r="X18" s="64"/>
      <c r="Y18" s="51"/>
      <c r="Z18" s="51"/>
      <c r="AA18" s="51"/>
      <c r="AB18" s="51"/>
      <c r="AH18" s="51"/>
      <c r="AI18" s="51"/>
    </row>
    <row r="19" spans="1:35">
      <c r="A19" s="54">
        <v>40.01</v>
      </c>
      <c r="B19" s="69" t="s">
        <v>122</v>
      </c>
      <c r="C19" s="61"/>
      <c r="D19" s="54" t="s">
        <v>120</v>
      </c>
      <c r="E19" s="51"/>
      <c r="F19" s="55"/>
      <c r="G19" s="80" t="s">
        <v>746</v>
      </c>
      <c r="H19" s="76" t="s">
        <v>747</v>
      </c>
      <c r="I19" s="51"/>
      <c r="J19" s="51"/>
      <c r="K19" s="58"/>
      <c r="L19" s="59"/>
      <c r="M19" s="109">
        <v>0</v>
      </c>
      <c r="N19" s="109">
        <v>3.1944444444444446E-3</v>
      </c>
      <c r="O19" s="77">
        <f>N19-M19</f>
        <v>3.1944444444444446E-3</v>
      </c>
      <c r="P19" s="96">
        <v>43015</v>
      </c>
      <c r="Q19" s="79" t="str">
        <f t="shared" ca="1" si="0"/>
        <v>https://www.youtube.com/embed/THua8SMPtK4?start=0&amp;end=276&amp;autoplay=1</v>
      </c>
      <c r="R19" s="69" t="s">
        <v>94</v>
      </c>
      <c r="S19" s="69" t="s">
        <v>116</v>
      </c>
      <c r="T19" s="69" t="s">
        <v>94</v>
      </c>
      <c r="U19" s="61"/>
      <c r="V19" s="62"/>
      <c r="W19" s="83" t="s">
        <v>292</v>
      </c>
      <c r="X19" s="64"/>
      <c r="Y19" s="51"/>
      <c r="Z19" s="54" t="s">
        <v>750</v>
      </c>
      <c r="AA19" s="51"/>
      <c r="AB19" s="51"/>
      <c r="AH19" s="51"/>
      <c r="AI19" s="51"/>
    </row>
    <row r="20" spans="1:35">
      <c r="A20" s="51">
        <v>41</v>
      </c>
      <c r="B20" s="69" t="s">
        <v>122</v>
      </c>
      <c r="C20" s="61"/>
      <c r="D20" s="54" t="s">
        <v>120</v>
      </c>
      <c r="E20" s="51" t="s">
        <v>375</v>
      </c>
      <c r="F20" s="55" t="s">
        <v>377</v>
      </c>
      <c r="G20" s="56"/>
      <c r="H20" s="57"/>
      <c r="I20" s="51"/>
      <c r="J20" s="51">
        <f>3.3*1000</f>
        <v>3300</v>
      </c>
      <c r="K20" s="58">
        <v>8.8657407407407417E-3</v>
      </c>
      <c r="L20" s="59" t="s">
        <v>251</v>
      </c>
      <c r="M20" s="77"/>
      <c r="N20" s="77"/>
      <c r="O20" s="51"/>
      <c r="P20" s="96">
        <v>43015</v>
      </c>
      <c r="Q20" s="37" t="str">
        <f t="shared" ca="1" si="0"/>
        <v/>
      </c>
      <c r="R20" s="52"/>
      <c r="S20" s="52"/>
      <c r="T20" s="52"/>
      <c r="U20" s="61"/>
      <c r="V20" s="62"/>
      <c r="W20" s="63"/>
      <c r="X20" s="64"/>
      <c r="Y20" s="51"/>
      <c r="Z20" s="51"/>
      <c r="AA20" s="51"/>
      <c r="AB20" s="51"/>
      <c r="AH20" s="51"/>
      <c r="AI20" s="51"/>
    </row>
    <row r="21" spans="1:35">
      <c r="A21" s="54">
        <v>41.01</v>
      </c>
      <c r="B21" s="69" t="s">
        <v>122</v>
      </c>
      <c r="C21" s="61"/>
      <c r="D21" s="54" t="s">
        <v>120</v>
      </c>
      <c r="E21" s="51"/>
      <c r="F21" s="55"/>
      <c r="G21" s="80" t="s">
        <v>753</v>
      </c>
      <c r="H21" s="76" t="s">
        <v>754</v>
      </c>
      <c r="I21" s="51"/>
      <c r="J21" s="51"/>
      <c r="K21" s="58"/>
      <c r="L21" s="59"/>
      <c r="M21" s="109">
        <v>9.9537037037037042E-4</v>
      </c>
      <c r="N21" s="109">
        <v>2.1759259259259258E-3</v>
      </c>
      <c r="O21" s="77">
        <f t="shared" ref="O21:O24" si="3">N21-M21</f>
        <v>1.1805555555555554E-3</v>
      </c>
      <c r="P21" s="96">
        <v>43015</v>
      </c>
      <c r="Q21" s="79" t="str">
        <f t="shared" ca="1" si="0"/>
        <v>https://www.youtube.com/embed/6_9IYK6ZlyY?start=86&amp;end=188&amp;autoplay=1</v>
      </c>
      <c r="R21" s="69" t="s">
        <v>94</v>
      </c>
      <c r="S21" s="69" t="s">
        <v>94</v>
      </c>
      <c r="T21" s="69" t="s">
        <v>94</v>
      </c>
      <c r="U21" s="61"/>
      <c r="V21" s="62"/>
      <c r="W21" s="83" t="s">
        <v>292</v>
      </c>
      <c r="X21" s="64"/>
      <c r="Y21" s="51"/>
      <c r="Z21" s="51"/>
      <c r="AA21" s="51"/>
      <c r="AB21" s="51"/>
      <c r="AH21" s="54"/>
      <c r="AI21" s="54"/>
    </row>
    <row r="22" spans="1:35">
      <c r="A22" s="54">
        <v>41.02</v>
      </c>
      <c r="B22" s="69" t="s">
        <v>122</v>
      </c>
      <c r="C22" s="61"/>
      <c r="D22" s="54" t="s">
        <v>120</v>
      </c>
      <c r="E22" s="51"/>
      <c r="F22" s="55"/>
      <c r="G22" s="80" t="s">
        <v>757</v>
      </c>
      <c r="H22" s="76" t="s">
        <v>758</v>
      </c>
      <c r="I22" s="51"/>
      <c r="J22" s="51"/>
      <c r="K22" s="58"/>
      <c r="L22" s="59"/>
      <c r="M22" s="109">
        <v>2.1875000000000002E-3</v>
      </c>
      <c r="N22" s="109">
        <v>3.6458333333333334E-3</v>
      </c>
      <c r="O22" s="77">
        <f t="shared" si="3"/>
        <v>1.4583333333333332E-3</v>
      </c>
      <c r="P22" s="96">
        <v>43015</v>
      </c>
      <c r="Q22" s="79" t="str">
        <f t="shared" ca="1" si="0"/>
        <v>https://www.youtube.com/embed/6_9IYK6ZlyY?start=189&amp;end=315&amp;autoplay=1</v>
      </c>
      <c r="R22" s="69" t="s">
        <v>94</v>
      </c>
      <c r="S22" s="69" t="s">
        <v>94</v>
      </c>
      <c r="T22" s="69" t="s">
        <v>94</v>
      </c>
      <c r="U22" s="61"/>
      <c r="V22" s="62"/>
      <c r="W22" s="83" t="s">
        <v>292</v>
      </c>
      <c r="X22" s="64"/>
      <c r="Y22" s="51"/>
      <c r="Z22" s="54" t="s">
        <v>759</v>
      </c>
      <c r="AA22" s="51"/>
      <c r="AB22" s="51"/>
      <c r="AH22" s="54"/>
      <c r="AI22" s="54"/>
    </row>
    <row r="23" spans="1:35">
      <c r="A23" s="54">
        <v>41.03</v>
      </c>
      <c r="B23" s="69" t="s">
        <v>122</v>
      </c>
      <c r="C23" s="61"/>
      <c r="D23" s="54" t="s">
        <v>120</v>
      </c>
      <c r="E23" s="51"/>
      <c r="F23" s="55"/>
      <c r="G23" s="80" t="s">
        <v>760</v>
      </c>
      <c r="H23" s="76" t="s">
        <v>761</v>
      </c>
      <c r="I23" s="51"/>
      <c r="J23" s="51"/>
      <c r="K23" s="58"/>
      <c r="L23" s="59"/>
      <c r="M23" s="109">
        <v>3.6574074074074074E-3</v>
      </c>
      <c r="N23" s="109">
        <v>5.5092592592592589E-3</v>
      </c>
      <c r="O23" s="77">
        <f t="shared" si="3"/>
        <v>1.8518518518518515E-3</v>
      </c>
      <c r="P23" s="96">
        <v>43015</v>
      </c>
      <c r="Q23" s="79" t="str">
        <f t="shared" ca="1" si="0"/>
        <v>https://www.youtube.com/embed/6_9IYK6ZlyY?start=316&amp;end=476&amp;autoplay=1</v>
      </c>
      <c r="R23" s="69" t="s">
        <v>94</v>
      </c>
      <c r="S23" s="69" t="s">
        <v>94</v>
      </c>
      <c r="T23" s="69" t="s">
        <v>94</v>
      </c>
      <c r="U23" s="61"/>
      <c r="V23" s="62"/>
      <c r="W23" s="83" t="s">
        <v>292</v>
      </c>
      <c r="X23" s="64"/>
      <c r="Y23" s="51"/>
      <c r="Z23" s="54" t="s">
        <v>759</v>
      </c>
      <c r="AA23" s="51"/>
      <c r="AB23" s="51"/>
      <c r="AH23" s="54"/>
      <c r="AI23" s="54"/>
    </row>
    <row r="24" spans="1:35">
      <c r="A24" s="54">
        <v>41.04</v>
      </c>
      <c r="B24" s="69" t="s">
        <v>122</v>
      </c>
      <c r="C24" s="61"/>
      <c r="D24" s="54" t="s">
        <v>120</v>
      </c>
      <c r="E24" s="51"/>
      <c r="F24" s="55"/>
      <c r="G24" s="80" t="s">
        <v>764</v>
      </c>
      <c r="H24" s="76" t="s">
        <v>765</v>
      </c>
      <c r="I24" s="51"/>
      <c r="J24" s="51"/>
      <c r="K24" s="58"/>
      <c r="L24" s="59"/>
      <c r="M24" s="109">
        <v>5.5208333333333333E-3</v>
      </c>
      <c r="N24" s="109">
        <v>8.8425925925925929E-3</v>
      </c>
      <c r="O24" s="77">
        <f t="shared" si="3"/>
        <v>3.3217592592592595E-3</v>
      </c>
      <c r="P24" s="96">
        <v>43015</v>
      </c>
      <c r="Q24" s="79" t="str">
        <f t="shared" ca="1" si="0"/>
        <v>https://www.youtube.com/embed/6_9IYK6ZlyY?start=477&amp;end=764&amp;autoplay=1</v>
      </c>
      <c r="R24" s="69" t="s">
        <v>94</v>
      </c>
      <c r="S24" s="69" t="s">
        <v>94</v>
      </c>
      <c r="T24" s="69" t="s">
        <v>94</v>
      </c>
      <c r="U24" s="61"/>
      <c r="V24" s="62"/>
      <c r="W24" s="83" t="s">
        <v>292</v>
      </c>
      <c r="X24" s="64"/>
      <c r="Y24" s="51"/>
      <c r="Z24" s="54" t="s">
        <v>759</v>
      </c>
      <c r="AA24" s="51"/>
      <c r="AB24" s="51"/>
      <c r="AH24" s="54"/>
      <c r="AI24" s="54"/>
    </row>
    <row r="25" spans="1:35">
      <c r="A25" s="51">
        <v>42</v>
      </c>
      <c r="B25" s="69" t="s">
        <v>122</v>
      </c>
      <c r="C25" s="61"/>
      <c r="D25" s="54" t="s">
        <v>120</v>
      </c>
      <c r="E25" s="51" t="s">
        <v>378</v>
      </c>
      <c r="F25" s="55" t="s">
        <v>379</v>
      </c>
      <c r="J25" s="51">
        <f>1.7*1000</f>
        <v>1700</v>
      </c>
      <c r="K25" s="58">
        <v>5.1967592592592595E-3</v>
      </c>
      <c r="L25" s="59" t="s">
        <v>251</v>
      </c>
      <c r="P25" s="96">
        <v>43015</v>
      </c>
      <c r="Q25" s="37" t="str">
        <f t="shared" ca="1" si="0"/>
        <v/>
      </c>
      <c r="R25" s="52"/>
      <c r="S25" s="52"/>
      <c r="T25" s="52"/>
      <c r="U25" s="61"/>
      <c r="V25" s="62"/>
      <c r="W25" s="63"/>
      <c r="X25" s="64"/>
      <c r="Y25" s="51"/>
      <c r="Z25" s="51"/>
      <c r="AA25" s="51"/>
      <c r="AB25" s="51"/>
      <c r="AH25" s="54"/>
      <c r="AI25" s="54"/>
    </row>
    <row r="26" spans="1:35">
      <c r="A26" s="54">
        <v>42.1</v>
      </c>
      <c r="B26" s="69" t="s">
        <v>122</v>
      </c>
      <c r="C26" s="61"/>
      <c r="D26" s="54" t="s">
        <v>120</v>
      </c>
      <c r="E26" s="51"/>
      <c r="F26" s="55"/>
      <c r="G26" s="80" t="s">
        <v>770</v>
      </c>
      <c r="H26" s="76" t="s">
        <v>771</v>
      </c>
      <c r="I26" s="51"/>
      <c r="J26" s="51"/>
      <c r="K26" s="58"/>
      <c r="L26" s="59"/>
      <c r="M26" s="109">
        <v>0</v>
      </c>
      <c r="N26" s="109">
        <v>5.1736111111111115E-3</v>
      </c>
      <c r="O26" s="77">
        <f>N26-M26</f>
        <v>5.1736111111111115E-3</v>
      </c>
      <c r="P26" s="96">
        <v>43015</v>
      </c>
      <c r="Q26" s="79" t="str">
        <f t="shared" ca="1" si="0"/>
        <v>https://www.youtube.com/embed/LXrKKz7Mld8?start=0&amp;end=447&amp;autoplay=1</v>
      </c>
      <c r="R26" s="69" t="s">
        <v>94</v>
      </c>
      <c r="S26" s="69" t="s">
        <v>94</v>
      </c>
      <c r="T26" s="69" t="s">
        <v>94</v>
      </c>
      <c r="U26" s="61"/>
      <c r="V26" s="62"/>
      <c r="W26" s="83" t="s">
        <v>292</v>
      </c>
      <c r="X26" s="64"/>
      <c r="Y26" s="51"/>
      <c r="Z26" s="54" t="s">
        <v>774</v>
      </c>
      <c r="AA26" s="51"/>
      <c r="AB26" s="51"/>
      <c r="AH26" s="51"/>
      <c r="AI26" s="51"/>
    </row>
    <row r="27" spans="1:35">
      <c r="A27" s="51">
        <v>43</v>
      </c>
      <c r="B27" s="69" t="s">
        <v>122</v>
      </c>
      <c r="C27" s="61"/>
      <c r="D27" s="54" t="s">
        <v>120</v>
      </c>
      <c r="E27" s="51" t="s">
        <v>380</v>
      </c>
      <c r="F27" s="55" t="s">
        <v>381</v>
      </c>
      <c r="G27" s="56"/>
      <c r="H27" s="57"/>
      <c r="I27" s="51"/>
      <c r="J27" s="51">
        <f>1*1000</f>
        <v>1000</v>
      </c>
      <c r="K27" s="58">
        <v>3.4490740740740745E-3</v>
      </c>
      <c r="L27" s="59" t="s">
        <v>251</v>
      </c>
      <c r="M27" s="77"/>
      <c r="N27" s="77"/>
      <c r="O27" s="51"/>
      <c r="P27" s="96">
        <v>43015</v>
      </c>
      <c r="Q27" s="37" t="str">
        <f t="shared" ca="1" si="0"/>
        <v/>
      </c>
      <c r="R27" s="52"/>
      <c r="S27" s="52"/>
      <c r="T27" s="52"/>
      <c r="U27" s="61"/>
      <c r="V27" s="62"/>
      <c r="W27" s="63"/>
      <c r="X27" s="64"/>
      <c r="Y27" s="51"/>
      <c r="Z27" s="51"/>
      <c r="AA27" s="51"/>
      <c r="AB27" s="51"/>
      <c r="AH27" s="51"/>
      <c r="AI27" s="51"/>
    </row>
    <row r="28" spans="1:35">
      <c r="A28" s="54">
        <v>43.1</v>
      </c>
      <c r="B28" s="69" t="s">
        <v>122</v>
      </c>
      <c r="C28" s="61"/>
      <c r="D28" s="54" t="s">
        <v>120</v>
      </c>
      <c r="E28" s="51"/>
      <c r="F28" s="55"/>
      <c r="G28" s="80" t="s">
        <v>777</v>
      </c>
      <c r="H28" s="76" t="s">
        <v>778</v>
      </c>
      <c r="I28" s="51"/>
      <c r="J28" s="51"/>
      <c r="K28" s="58"/>
      <c r="L28" s="59"/>
      <c r="M28" s="109">
        <v>0</v>
      </c>
      <c r="N28" s="109">
        <v>3.4375E-3</v>
      </c>
      <c r="O28" s="77">
        <f>N28-M28</f>
        <v>3.4375E-3</v>
      </c>
      <c r="P28" s="96">
        <v>43015</v>
      </c>
      <c r="Q28" s="79" t="str">
        <f t="shared" ca="1" si="0"/>
        <v>https://www.youtube.com/embed/ufZ1BZcZzKI?start=0&amp;end=297&amp;autoplay=1</v>
      </c>
      <c r="R28" s="69" t="s">
        <v>94</v>
      </c>
      <c r="S28" s="69" t="s">
        <v>94</v>
      </c>
      <c r="T28" s="69" t="s">
        <v>94</v>
      </c>
      <c r="U28" s="61"/>
      <c r="V28" s="62"/>
      <c r="W28" s="83" t="s">
        <v>292</v>
      </c>
      <c r="X28" s="64"/>
      <c r="Y28" s="51"/>
      <c r="Z28" s="119" t="s">
        <v>759</v>
      </c>
      <c r="AA28" s="51"/>
      <c r="AB28" s="51"/>
      <c r="AH28" s="51"/>
      <c r="AI28" s="51"/>
    </row>
    <row r="29" spans="1:35">
      <c r="A29" s="51">
        <v>44</v>
      </c>
      <c r="B29" s="69" t="s">
        <v>122</v>
      </c>
      <c r="C29" s="61"/>
      <c r="D29" s="54" t="s">
        <v>120</v>
      </c>
      <c r="E29" s="51" t="s">
        <v>384</v>
      </c>
      <c r="F29" s="55" t="s">
        <v>385</v>
      </c>
      <c r="G29" s="56"/>
      <c r="H29" s="57"/>
      <c r="I29" s="51"/>
      <c r="J29" s="51">
        <f>1.3*1000</f>
        <v>1300</v>
      </c>
      <c r="K29" s="58">
        <v>5.3240740740740748E-3</v>
      </c>
      <c r="L29" s="59" t="s">
        <v>251</v>
      </c>
      <c r="M29" s="77"/>
      <c r="N29" s="77"/>
      <c r="O29" s="51"/>
      <c r="P29" s="96">
        <v>43015</v>
      </c>
      <c r="Q29" s="37" t="str">
        <f t="shared" ca="1" si="0"/>
        <v/>
      </c>
      <c r="R29" s="52"/>
      <c r="S29" s="52"/>
      <c r="T29" s="52"/>
      <c r="U29" s="61"/>
      <c r="V29" s="62"/>
      <c r="W29" s="63"/>
      <c r="X29" s="64"/>
      <c r="Y29" s="51"/>
      <c r="Z29" s="51"/>
      <c r="AA29" s="51"/>
      <c r="AB29" s="51"/>
      <c r="AH29" s="51"/>
      <c r="AI29" s="51"/>
    </row>
    <row r="30" spans="1:35">
      <c r="A30" s="54">
        <v>44.1</v>
      </c>
      <c r="B30" s="69" t="s">
        <v>122</v>
      </c>
      <c r="C30" s="61"/>
      <c r="D30" s="54" t="s">
        <v>120</v>
      </c>
      <c r="E30" s="51"/>
      <c r="F30" s="55"/>
      <c r="G30" s="80" t="s">
        <v>785</v>
      </c>
      <c r="H30" s="76" t="s">
        <v>786</v>
      </c>
      <c r="I30" s="51"/>
      <c r="J30" s="51"/>
      <c r="K30" s="58"/>
      <c r="L30" s="59"/>
      <c r="M30" s="109">
        <v>3.0208333333333333E-3</v>
      </c>
      <c r="N30" s="109">
        <v>5.2893518518518515E-3</v>
      </c>
      <c r="O30" s="77">
        <f>N30-M30</f>
        <v>2.2685185185185182E-3</v>
      </c>
      <c r="P30" s="96">
        <v>43015</v>
      </c>
      <c r="Q30" s="79" t="str">
        <f t="shared" ca="1" si="0"/>
        <v>https://www.youtube.com/embed/rNhQIKC2jPM?start=261&amp;end=457&amp;autoplay=1</v>
      </c>
      <c r="R30" s="69" t="s">
        <v>94</v>
      </c>
      <c r="S30" s="69" t="s">
        <v>94</v>
      </c>
      <c r="T30" s="69" t="s">
        <v>94</v>
      </c>
      <c r="U30" s="61"/>
      <c r="V30" s="62"/>
      <c r="W30" s="83" t="s">
        <v>292</v>
      </c>
      <c r="X30" s="64"/>
      <c r="Y30" s="51"/>
      <c r="Z30" s="54" t="s">
        <v>759</v>
      </c>
      <c r="AA30" s="51"/>
      <c r="AB30" s="51"/>
      <c r="AC30" s="82"/>
      <c r="AD30" s="82"/>
      <c r="AE30" s="82"/>
      <c r="AF30" s="82"/>
      <c r="AG30" s="82"/>
      <c r="AH30" s="51"/>
      <c r="AI30" s="51"/>
    </row>
    <row r="31" spans="1:35">
      <c r="A31" s="51">
        <v>45</v>
      </c>
      <c r="B31" s="69" t="s">
        <v>122</v>
      </c>
      <c r="C31" s="61"/>
      <c r="D31" s="54" t="s">
        <v>120</v>
      </c>
      <c r="E31" s="51" t="s">
        <v>388</v>
      </c>
      <c r="F31" s="55" t="s">
        <v>389</v>
      </c>
      <c r="G31" s="56"/>
      <c r="H31" s="57"/>
      <c r="I31" s="51"/>
      <c r="J31" s="51">
        <f>1.3*1000</f>
        <v>1300</v>
      </c>
      <c r="K31" s="58">
        <v>8.2407407407407412E-3</v>
      </c>
      <c r="L31" s="59" t="s">
        <v>251</v>
      </c>
      <c r="M31" s="77"/>
      <c r="N31" s="77"/>
      <c r="O31" s="51"/>
      <c r="P31" s="96">
        <v>43015</v>
      </c>
      <c r="Q31" s="37" t="str">
        <f t="shared" ca="1" si="0"/>
        <v/>
      </c>
      <c r="R31" s="52"/>
      <c r="S31" s="52"/>
      <c r="T31" s="52"/>
      <c r="U31" s="61"/>
      <c r="V31" s="62"/>
      <c r="W31" s="63"/>
      <c r="X31" s="64"/>
      <c r="Y31" s="51"/>
      <c r="Z31" s="51"/>
      <c r="AA31" s="51"/>
      <c r="AB31" s="51"/>
      <c r="AC31" s="82"/>
      <c r="AD31" s="82"/>
      <c r="AE31" s="82"/>
      <c r="AF31" s="82"/>
      <c r="AG31" s="82"/>
      <c r="AH31" s="51"/>
      <c r="AI31" s="51"/>
    </row>
    <row r="32" spans="1:35">
      <c r="A32" s="54">
        <v>45.1</v>
      </c>
      <c r="B32" s="69" t="s">
        <v>122</v>
      </c>
      <c r="C32" s="61"/>
      <c r="D32" s="54" t="s">
        <v>120</v>
      </c>
      <c r="E32" s="51"/>
      <c r="F32" s="55"/>
      <c r="G32" s="80" t="s">
        <v>793</v>
      </c>
      <c r="H32" s="76" t="s">
        <v>794</v>
      </c>
      <c r="I32" s="51"/>
      <c r="J32" s="51"/>
      <c r="K32" s="58"/>
      <c r="L32" s="59"/>
      <c r="M32" s="109">
        <v>0</v>
      </c>
      <c r="N32" s="109">
        <v>4.1666666666666666E-3</v>
      </c>
      <c r="O32" s="77">
        <f>N32-M32</f>
        <v>4.1666666666666666E-3</v>
      </c>
      <c r="P32" s="96">
        <v>43015</v>
      </c>
      <c r="Q32" s="79" t="str">
        <f t="shared" ca="1" si="0"/>
        <v>https://www.youtube.com/embed/FndfcBhZklU?start=0&amp;end=360&amp;autoplay=1</v>
      </c>
      <c r="R32" s="69" t="s">
        <v>116</v>
      </c>
      <c r="S32" s="69" t="s">
        <v>94</v>
      </c>
      <c r="T32" s="69" t="s">
        <v>94</v>
      </c>
      <c r="U32" s="61"/>
      <c r="V32" s="62"/>
      <c r="W32" s="63"/>
      <c r="X32" s="64"/>
      <c r="Y32" s="51"/>
      <c r="Z32" s="54" t="s">
        <v>797</v>
      </c>
      <c r="AA32" s="51"/>
      <c r="AB32" s="51"/>
      <c r="AC32" s="82"/>
      <c r="AD32" s="82"/>
      <c r="AE32" s="82"/>
      <c r="AF32" s="82"/>
      <c r="AG32" s="82"/>
      <c r="AH32" s="51"/>
      <c r="AI32" s="51"/>
    </row>
    <row r="33" spans="1:35">
      <c r="A33" s="51">
        <v>46</v>
      </c>
      <c r="B33" s="69" t="s">
        <v>122</v>
      </c>
      <c r="C33" s="61"/>
      <c r="D33" s="54" t="s">
        <v>120</v>
      </c>
      <c r="E33" s="51" t="s">
        <v>392</v>
      </c>
      <c r="F33" s="55" t="s">
        <v>393</v>
      </c>
      <c r="G33" s="56"/>
      <c r="H33" s="57"/>
      <c r="I33" s="51"/>
      <c r="J33" s="51">
        <f>940</f>
        <v>940</v>
      </c>
      <c r="K33" s="58">
        <v>2.5925925925925925E-3</v>
      </c>
      <c r="L33" s="59" t="s">
        <v>251</v>
      </c>
      <c r="M33" s="77"/>
      <c r="N33" s="77"/>
      <c r="O33" s="51"/>
      <c r="P33" s="96">
        <v>43015</v>
      </c>
      <c r="Q33" s="37" t="str">
        <f t="shared" ca="1" si="0"/>
        <v/>
      </c>
      <c r="R33" s="52"/>
      <c r="S33" s="52"/>
      <c r="T33" s="52"/>
      <c r="U33" s="61"/>
      <c r="V33" s="62"/>
      <c r="W33" s="63"/>
      <c r="X33" s="64"/>
      <c r="Y33" s="51"/>
      <c r="Z33" s="51"/>
      <c r="AA33" s="51"/>
      <c r="AB33" s="51"/>
      <c r="AC33" s="82"/>
      <c r="AD33" s="82"/>
      <c r="AE33" s="82"/>
      <c r="AF33" s="82"/>
      <c r="AG33" s="82"/>
      <c r="AH33" s="51"/>
      <c r="AI33" s="51"/>
    </row>
    <row r="34" spans="1:35">
      <c r="A34" s="54">
        <v>46.1</v>
      </c>
      <c r="B34" s="69" t="s">
        <v>122</v>
      </c>
      <c r="C34" s="61"/>
      <c r="D34" s="54" t="s">
        <v>120</v>
      </c>
      <c r="E34" s="51"/>
      <c r="F34" s="55"/>
      <c r="G34" s="80" t="s">
        <v>800</v>
      </c>
      <c r="H34" s="57"/>
      <c r="I34" s="51"/>
      <c r="J34" s="51"/>
      <c r="K34" s="58"/>
      <c r="L34" s="59"/>
      <c r="M34" s="109">
        <v>0</v>
      </c>
      <c r="N34" s="109">
        <v>2.5694444444444445E-3</v>
      </c>
      <c r="O34" s="77">
        <f>N34-M34</f>
        <v>2.5694444444444445E-3</v>
      </c>
      <c r="P34" s="96">
        <v>43015</v>
      </c>
      <c r="Q34" s="79" t="str">
        <f t="shared" ca="1" si="0"/>
        <v>https://www.youtube.com/embed/20u8yHim1tM?start=0&amp;end=222&amp;autoplay=1</v>
      </c>
      <c r="R34" s="69" t="s">
        <v>94</v>
      </c>
      <c r="S34" s="69" t="s">
        <v>94</v>
      </c>
      <c r="T34" s="69" t="s">
        <v>94</v>
      </c>
      <c r="U34" s="61"/>
      <c r="V34" s="62"/>
      <c r="W34" s="83" t="s">
        <v>292</v>
      </c>
      <c r="X34" s="64"/>
      <c r="Y34" s="51"/>
      <c r="Z34" s="54" t="s">
        <v>801</v>
      </c>
      <c r="AA34" s="51"/>
      <c r="AB34" s="51"/>
      <c r="AC34" s="82"/>
      <c r="AD34" s="82"/>
      <c r="AE34" s="82"/>
      <c r="AF34" s="82"/>
      <c r="AG34" s="82"/>
      <c r="AH34" s="51"/>
      <c r="AI34" s="51"/>
    </row>
    <row r="35" spans="1:35">
      <c r="A35" s="51">
        <v>47</v>
      </c>
      <c r="B35" s="69" t="s">
        <v>122</v>
      </c>
      <c r="C35" s="61"/>
      <c r="D35" s="54" t="s">
        <v>128</v>
      </c>
      <c r="E35" s="51" t="s">
        <v>396</v>
      </c>
      <c r="F35" s="55" t="s">
        <v>397</v>
      </c>
      <c r="G35" s="56"/>
      <c r="H35" s="57"/>
      <c r="I35" s="51"/>
      <c r="J35" s="51">
        <f>864</f>
        <v>864</v>
      </c>
      <c r="K35" s="58">
        <v>4.1898148148148146E-3</v>
      </c>
      <c r="L35" s="59" t="s">
        <v>251</v>
      </c>
      <c r="M35" s="77"/>
      <c r="N35" s="77"/>
      <c r="O35" s="51"/>
      <c r="P35" s="96">
        <v>43015</v>
      </c>
      <c r="Q35" s="37" t="str">
        <f t="shared" ca="1" si="0"/>
        <v/>
      </c>
      <c r="R35" s="69" t="s">
        <v>94</v>
      </c>
      <c r="S35" s="69" t="s">
        <v>94</v>
      </c>
      <c r="T35" s="69" t="s">
        <v>94</v>
      </c>
      <c r="U35" s="61"/>
      <c r="V35" s="62"/>
      <c r="W35" s="83" t="s">
        <v>304</v>
      </c>
      <c r="X35" s="64"/>
      <c r="Y35" s="51"/>
      <c r="Z35" s="54" t="s">
        <v>1595</v>
      </c>
      <c r="AA35" s="51"/>
      <c r="AB35" s="51"/>
      <c r="AC35" s="82"/>
      <c r="AD35" s="82"/>
      <c r="AE35" s="82"/>
      <c r="AF35" s="82"/>
      <c r="AG35" s="82"/>
      <c r="AH35" s="51"/>
      <c r="AI35" s="51"/>
    </row>
    <row r="36" spans="1:35">
      <c r="A36" s="51">
        <v>48</v>
      </c>
      <c r="B36" s="69" t="s">
        <v>122</v>
      </c>
      <c r="C36" s="61"/>
      <c r="D36" s="54" t="s">
        <v>120</v>
      </c>
      <c r="E36" s="51" t="s">
        <v>402</v>
      </c>
      <c r="F36" s="55" t="s">
        <v>404</v>
      </c>
      <c r="G36" s="56"/>
      <c r="H36" s="57"/>
      <c r="I36" s="51"/>
      <c r="J36" s="51">
        <f>1.1*1000</f>
        <v>1100</v>
      </c>
      <c r="K36" s="58">
        <v>3.2986111111111111E-3</v>
      </c>
      <c r="L36" s="59" t="s">
        <v>251</v>
      </c>
      <c r="M36" s="77"/>
      <c r="N36" s="77"/>
      <c r="O36" s="51"/>
      <c r="P36" s="96">
        <v>43015</v>
      </c>
      <c r="Q36" s="37" t="str">
        <f t="shared" ca="1" si="0"/>
        <v/>
      </c>
      <c r="R36" s="52"/>
      <c r="S36" s="52"/>
      <c r="T36" s="52"/>
      <c r="U36" s="61"/>
      <c r="V36" s="62"/>
      <c r="W36" s="63"/>
      <c r="X36" s="64"/>
      <c r="Y36" s="51"/>
      <c r="Z36" s="51"/>
      <c r="AA36" s="51"/>
      <c r="AB36" s="51"/>
      <c r="AC36" s="82"/>
      <c r="AD36" s="82"/>
      <c r="AE36" s="82"/>
      <c r="AF36" s="82"/>
      <c r="AG36" s="82"/>
      <c r="AH36" s="51"/>
      <c r="AI36" s="51"/>
    </row>
    <row r="37" spans="1:35">
      <c r="A37" s="54">
        <v>48.1</v>
      </c>
      <c r="B37" s="69" t="s">
        <v>122</v>
      </c>
      <c r="C37" s="61"/>
      <c r="D37" s="54" t="s">
        <v>120</v>
      </c>
      <c r="E37" s="51"/>
      <c r="F37" s="55"/>
      <c r="G37" s="80" t="s">
        <v>808</v>
      </c>
      <c r="H37" s="57"/>
      <c r="I37" s="51"/>
      <c r="J37" s="51"/>
      <c r="K37" s="58"/>
      <c r="L37" s="59"/>
      <c r="M37" s="109">
        <v>0</v>
      </c>
      <c r="N37" s="109">
        <v>3.2870370370370371E-3</v>
      </c>
      <c r="O37" s="77">
        <f>N37-M37</f>
        <v>3.2870370370370371E-3</v>
      </c>
      <c r="P37" s="96">
        <v>43015</v>
      </c>
      <c r="Q37" s="79" t="str">
        <f t="shared" ca="1" si="0"/>
        <v>https://www.youtube.com/embed/QEUeYDEFtsE?start=0&amp;end=284&amp;autoplay=1</v>
      </c>
      <c r="R37" s="69" t="s">
        <v>94</v>
      </c>
      <c r="S37" s="69" t="s">
        <v>116</v>
      </c>
      <c r="T37" s="69" t="s">
        <v>94</v>
      </c>
      <c r="U37" s="61"/>
      <c r="V37" s="62"/>
      <c r="W37" s="83" t="s">
        <v>292</v>
      </c>
      <c r="X37" s="64"/>
      <c r="Y37" s="51"/>
      <c r="Z37" s="54" t="s">
        <v>811</v>
      </c>
      <c r="AA37" s="51"/>
      <c r="AB37" s="51"/>
      <c r="AH37" s="65"/>
      <c r="AI37" s="65"/>
    </row>
    <row r="38" spans="1:35">
      <c r="A38" s="51">
        <v>49</v>
      </c>
      <c r="B38" s="69" t="s">
        <v>122</v>
      </c>
      <c r="C38" s="61"/>
      <c r="D38" s="54" t="s">
        <v>120</v>
      </c>
      <c r="E38" s="51" t="s">
        <v>408</v>
      </c>
      <c r="F38" s="55" t="s">
        <v>409</v>
      </c>
      <c r="G38" s="56"/>
      <c r="H38" s="57"/>
      <c r="I38" s="51"/>
      <c r="J38" s="51">
        <f>1.5*1000</f>
        <v>1500</v>
      </c>
      <c r="K38" s="58">
        <v>8.9467592592592585E-3</v>
      </c>
      <c r="L38" s="59" t="s">
        <v>251</v>
      </c>
      <c r="M38" s="77"/>
      <c r="N38" s="77"/>
      <c r="O38" s="51"/>
      <c r="P38" s="96">
        <v>43015</v>
      </c>
      <c r="Q38" s="37" t="str">
        <f t="shared" ca="1" si="0"/>
        <v/>
      </c>
      <c r="R38" s="52"/>
      <c r="S38" s="52"/>
      <c r="T38" s="52"/>
      <c r="U38" s="61"/>
      <c r="V38" s="62"/>
      <c r="W38" s="63"/>
      <c r="X38" s="64"/>
      <c r="Y38" s="51"/>
      <c r="Z38" s="51"/>
      <c r="AA38" s="51"/>
      <c r="AB38" s="51"/>
      <c r="AH38" s="65"/>
      <c r="AI38" s="65"/>
    </row>
    <row r="39" spans="1:35">
      <c r="A39" s="54">
        <v>49.01</v>
      </c>
      <c r="B39" s="69" t="s">
        <v>122</v>
      </c>
      <c r="C39" s="61"/>
      <c r="D39" s="54" t="s">
        <v>120</v>
      </c>
      <c r="E39" s="51"/>
      <c r="F39" s="55"/>
      <c r="G39" s="80" t="s">
        <v>816</v>
      </c>
      <c r="H39" s="57"/>
      <c r="I39" s="51"/>
      <c r="J39" s="51"/>
      <c r="K39" s="58"/>
      <c r="L39" s="59"/>
      <c r="M39" s="101">
        <v>0</v>
      </c>
      <c r="N39" s="109">
        <v>4.1666666666666666E-3</v>
      </c>
      <c r="O39" s="77">
        <f t="shared" ref="O39:O40" si="4">N39-M39</f>
        <v>4.1666666666666666E-3</v>
      </c>
      <c r="P39" s="96">
        <v>43015</v>
      </c>
      <c r="Q39" s="79" t="str">
        <f t="shared" ca="1" si="0"/>
        <v>https://www.youtube.com/embed/Yhp3rFuo5Cw?start=0&amp;end=360&amp;autoplay=1</v>
      </c>
      <c r="R39" s="74" t="s">
        <v>94</v>
      </c>
      <c r="S39" s="74" t="s">
        <v>94</v>
      </c>
      <c r="T39" s="74" t="s">
        <v>94</v>
      </c>
      <c r="U39" s="71"/>
      <c r="V39" s="73"/>
      <c r="W39" s="102" t="s">
        <v>292</v>
      </c>
      <c r="X39" s="64"/>
      <c r="Y39" s="51"/>
      <c r="Z39" s="54" t="s">
        <v>819</v>
      </c>
      <c r="AA39" s="82"/>
      <c r="AB39" s="82"/>
      <c r="AC39" s="82"/>
      <c r="AD39" s="82"/>
      <c r="AE39" s="82"/>
      <c r="AF39" s="82"/>
      <c r="AG39" s="82"/>
      <c r="AH39" s="51"/>
      <c r="AI39" s="51"/>
    </row>
    <row r="40" spans="1:35">
      <c r="A40" s="54">
        <v>49.02</v>
      </c>
      <c r="B40" s="69" t="s">
        <v>122</v>
      </c>
      <c r="C40" s="61"/>
      <c r="D40" s="54" t="s">
        <v>120</v>
      </c>
      <c r="E40" s="51"/>
      <c r="F40" s="55"/>
      <c r="G40" s="80" t="s">
        <v>822</v>
      </c>
      <c r="H40" s="76"/>
      <c r="I40" s="51"/>
      <c r="J40" s="51"/>
      <c r="K40" s="58"/>
      <c r="L40" s="59"/>
      <c r="M40" s="101">
        <v>4.178240740740741E-3</v>
      </c>
      <c r="N40" s="101">
        <v>8.9236111111111113E-3</v>
      </c>
      <c r="O40" s="58">
        <f t="shared" si="4"/>
        <v>4.7453703703703703E-3</v>
      </c>
      <c r="P40" s="96">
        <v>43015</v>
      </c>
      <c r="Q40" s="79" t="str">
        <f t="shared" ca="1" si="0"/>
        <v>https://www.youtube.com/embed/Yhp3rFuo5Cw?start=361&amp;end=771&amp;autoplay=1</v>
      </c>
      <c r="R40" s="74" t="s">
        <v>94</v>
      </c>
      <c r="S40" s="74" t="s">
        <v>94</v>
      </c>
      <c r="T40" s="74" t="s">
        <v>94</v>
      </c>
      <c r="U40" s="71"/>
      <c r="V40" s="73"/>
      <c r="W40" s="102" t="s">
        <v>292</v>
      </c>
      <c r="X40" s="64"/>
      <c r="Y40" s="51"/>
      <c r="Z40" s="54" t="s">
        <v>819</v>
      </c>
      <c r="AA40" s="82"/>
      <c r="AB40" s="82"/>
      <c r="AC40" s="82"/>
      <c r="AD40" s="82"/>
      <c r="AE40" s="82"/>
      <c r="AF40" s="82"/>
      <c r="AG40" s="82"/>
      <c r="AH40" s="51"/>
      <c r="AI40" s="51"/>
    </row>
    <row r="41" spans="1:35">
      <c r="A41" s="54"/>
      <c r="B41" s="51"/>
      <c r="C41" s="54"/>
      <c r="D41" s="51"/>
      <c r="E41" s="51"/>
      <c r="F41" s="55"/>
      <c r="G41" s="56"/>
      <c r="H41" s="76"/>
      <c r="I41" s="51"/>
      <c r="J41" s="51"/>
      <c r="K41" s="58"/>
      <c r="L41" s="59"/>
      <c r="M41" s="58"/>
      <c r="N41" s="58"/>
      <c r="O41" s="77"/>
      <c r="P41" s="81"/>
      <c r="Q41" s="37"/>
      <c r="R41" s="74"/>
      <c r="S41" s="74"/>
      <c r="T41" s="70"/>
      <c r="U41" s="71"/>
      <c r="V41" s="73"/>
      <c r="W41" s="75"/>
      <c r="X41" s="64"/>
      <c r="Y41" s="51"/>
      <c r="Z41" s="51"/>
      <c r="AA41" s="82"/>
      <c r="AB41" s="82"/>
      <c r="AC41" s="82"/>
      <c r="AD41" s="82"/>
      <c r="AE41" s="82"/>
      <c r="AF41" s="82"/>
      <c r="AG41" s="82"/>
      <c r="AH41" s="51"/>
      <c r="AI41" s="51"/>
    </row>
    <row r="42" spans="1:35">
      <c r="A42" s="54"/>
      <c r="B42" s="51"/>
      <c r="C42" s="51"/>
      <c r="D42" s="51"/>
      <c r="E42" s="51"/>
      <c r="F42" s="55"/>
      <c r="G42" s="56"/>
      <c r="H42" s="76"/>
      <c r="I42" s="51"/>
      <c r="J42" s="51"/>
      <c r="K42" s="58"/>
      <c r="L42" s="59"/>
      <c r="M42" s="58"/>
      <c r="N42" s="58"/>
      <c r="O42" s="77"/>
      <c r="P42" s="81"/>
      <c r="Q42" s="37"/>
      <c r="R42" s="74"/>
      <c r="S42" s="74"/>
      <c r="T42" s="70"/>
      <c r="U42" s="71"/>
      <c r="V42" s="73"/>
      <c r="W42" s="75"/>
      <c r="X42" s="85"/>
      <c r="Y42" s="65"/>
      <c r="Z42" s="65"/>
      <c r="AA42" s="82"/>
      <c r="AB42" s="82"/>
      <c r="AC42" s="82"/>
      <c r="AD42" s="82"/>
      <c r="AE42" s="82"/>
      <c r="AF42" s="82"/>
      <c r="AG42" s="82"/>
      <c r="AH42" s="51"/>
      <c r="AI42" s="51"/>
    </row>
    <row r="43" spans="1:35">
      <c r="A43" s="54"/>
      <c r="B43" s="51"/>
      <c r="C43" s="51"/>
      <c r="D43" s="51"/>
      <c r="E43" s="51"/>
      <c r="F43" s="55"/>
      <c r="G43" s="56"/>
      <c r="H43" s="76"/>
      <c r="I43" s="51"/>
      <c r="J43" s="51"/>
      <c r="K43" s="58"/>
      <c r="L43" s="59"/>
      <c r="M43" s="58"/>
      <c r="N43" s="58"/>
      <c r="O43" s="77"/>
      <c r="P43" s="81"/>
      <c r="Q43" s="37"/>
      <c r="R43" s="74"/>
      <c r="S43" s="74"/>
      <c r="T43" s="70"/>
      <c r="U43" s="71"/>
      <c r="V43" s="73"/>
      <c r="W43" s="75"/>
      <c r="X43" s="85"/>
      <c r="Y43" s="65"/>
      <c r="Z43" s="65"/>
      <c r="AA43" s="82"/>
      <c r="AB43" s="82"/>
      <c r="AC43" s="82"/>
      <c r="AD43" s="82"/>
      <c r="AE43" s="82"/>
      <c r="AF43" s="82"/>
      <c r="AG43" s="82"/>
      <c r="AH43" s="51"/>
      <c r="AI43" s="51"/>
    </row>
    <row r="44" spans="1:35">
      <c r="A44" s="54"/>
      <c r="B44" s="51"/>
      <c r="C44" s="51"/>
      <c r="D44" s="51"/>
      <c r="E44" s="51"/>
      <c r="F44" s="55"/>
      <c r="G44" s="80"/>
      <c r="H44" s="76"/>
      <c r="I44" s="51"/>
      <c r="J44" s="51"/>
      <c r="K44" s="58"/>
      <c r="L44" s="59"/>
      <c r="M44" s="58"/>
      <c r="N44" s="58"/>
      <c r="O44" s="77"/>
      <c r="P44" s="81"/>
      <c r="Q44" s="37"/>
      <c r="R44" s="74"/>
      <c r="S44" s="74"/>
      <c r="T44" s="70"/>
      <c r="U44" s="71"/>
      <c r="V44" s="73"/>
      <c r="W44" s="75"/>
      <c r="X44" s="85"/>
      <c r="Y44" s="65"/>
      <c r="Z44" s="65"/>
      <c r="AA44" s="82"/>
      <c r="AB44" s="82"/>
      <c r="AC44" s="82"/>
      <c r="AD44" s="82"/>
      <c r="AE44" s="82"/>
      <c r="AF44" s="82"/>
      <c r="AG44" s="82"/>
      <c r="AH44" s="51"/>
      <c r="AI44" s="51"/>
    </row>
    <row r="45" spans="1:35">
      <c r="A45" s="54"/>
      <c r="B45" s="51"/>
      <c r="C45" s="54"/>
      <c r="D45" s="51"/>
      <c r="E45" s="51"/>
      <c r="F45" s="55"/>
      <c r="G45" s="56"/>
      <c r="H45" s="76"/>
      <c r="I45" s="51"/>
      <c r="J45" s="51"/>
      <c r="K45" s="58"/>
      <c r="L45" s="59"/>
      <c r="M45" s="58"/>
      <c r="N45" s="58"/>
      <c r="O45" s="77"/>
      <c r="P45" s="81"/>
      <c r="Q45" s="37"/>
      <c r="R45" s="74"/>
      <c r="S45" s="74"/>
      <c r="T45" s="70"/>
      <c r="U45" s="71"/>
      <c r="V45" s="73"/>
      <c r="W45" s="75"/>
      <c r="X45" s="85"/>
      <c r="Y45" s="65"/>
      <c r="Z45" s="65"/>
      <c r="AA45" s="82"/>
      <c r="AB45" s="82"/>
      <c r="AC45" s="82"/>
      <c r="AD45" s="82"/>
      <c r="AE45" s="82"/>
      <c r="AF45" s="82"/>
      <c r="AG45" s="82"/>
      <c r="AH45" s="51"/>
      <c r="AI45" s="51"/>
    </row>
    <row r="46" spans="1:35">
      <c r="A46" s="51"/>
      <c r="B46" s="51"/>
      <c r="C46" s="51"/>
      <c r="D46" s="51"/>
      <c r="E46" s="51"/>
      <c r="F46" s="55"/>
      <c r="G46" s="56"/>
      <c r="H46" s="57"/>
      <c r="I46" s="51"/>
      <c r="J46" s="51"/>
      <c r="K46" s="58"/>
      <c r="L46" s="59"/>
      <c r="M46" s="58"/>
      <c r="N46" s="58"/>
      <c r="O46" s="51"/>
      <c r="P46" s="81"/>
      <c r="Q46" s="37"/>
      <c r="R46" s="70"/>
      <c r="S46" s="70"/>
      <c r="T46" s="70"/>
      <c r="U46" s="71"/>
      <c r="V46" s="73"/>
      <c r="W46" s="75"/>
      <c r="X46" s="64"/>
      <c r="Y46" s="51"/>
      <c r="Z46" s="51"/>
      <c r="AA46" s="82"/>
      <c r="AB46" s="82"/>
      <c r="AC46" s="82"/>
      <c r="AD46" s="82"/>
      <c r="AE46" s="82"/>
      <c r="AF46" s="82"/>
      <c r="AG46" s="82"/>
      <c r="AH46" s="51"/>
      <c r="AI46" s="51"/>
    </row>
    <row r="47" spans="1:35">
      <c r="A47" s="54"/>
      <c r="B47" s="51"/>
      <c r="C47" s="51"/>
      <c r="D47" s="51"/>
      <c r="E47" s="51"/>
      <c r="F47" s="55"/>
      <c r="G47" s="56"/>
      <c r="H47" s="86"/>
      <c r="I47" s="51"/>
      <c r="J47" s="51"/>
      <c r="K47" s="58"/>
      <c r="L47" s="59"/>
      <c r="M47" s="58"/>
      <c r="N47" s="58"/>
      <c r="O47" s="77"/>
      <c r="P47" s="81"/>
      <c r="Q47" s="37"/>
      <c r="R47" s="70"/>
      <c r="S47" s="70"/>
      <c r="T47" s="70"/>
      <c r="U47" s="71"/>
      <c r="V47" s="73"/>
      <c r="W47" s="75"/>
      <c r="X47" s="64"/>
      <c r="Y47" s="51"/>
      <c r="Z47" s="51"/>
      <c r="AA47" s="82"/>
      <c r="AB47" s="82"/>
      <c r="AC47" s="82"/>
      <c r="AD47" s="82"/>
      <c r="AE47" s="82"/>
      <c r="AF47" s="82"/>
      <c r="AG47" s="82"/>
      <c r="AH47" s="51"/>
      <c r="AI47" s="51"/>
    </row>
    <row r="48" spans="1:35">
      <c r="A48" s="54"/>
      <c r="B48" s="51"/>
      <c r="C48" s="51"/>
      <c r="D48" s="51"/>
      <c r="E48" s="51"/>
      <c r="F48" s="55"/>
      <c r="G48" s="56"/>
      <c r="H48" s="86"/>
      <c r="I48" s="51"/>
      <c r="J48" s="51"/>
      <c r="K48" s="58"/>
      <c r="L48" s="59"/>
      <c r="M48" s="58"/>
      <c r="N48" s="58"/>
      <c r="O48" s="77"/>
      <c r="P48" s="81"/>
      <c r="Q48" s="37"/>
      <c r="R48" s="70"/>
      <c r="S48" s="70"/>
      <c r="T48" s="70"/>
      <c r="U48" s="71"/>
      <c r="V48" s="73"/>
      <c r="W48" s="75"/>
      <c r="X48" s="64"/>
      <c r="Y48" s="51"/>
      <c r="Z48" s="51"/>
      <c r="AA48" s="82"/>
      <c r="AB48" s="82"/>
      <c r="AC48" s="82"/>
      <c r="AD48" s="82"/>
      <c r="AE48" s="82"/>
      <c r="AF48" s="82"/>
      <c r="AG48" s="82"/>
      <c r="AH48" s="51"/>
      <c r="AI48" s="51"/>
    </row>
    <row r="49" spans="1:35">
      <c r="A49" s="54"/>
      <c r="B49" s="51"/>
      <c r="C49" s="51"/>
      <c r="D49" s="51"/>
      <c r="E49" s="51"/>
      <c r="F49" s="55"/>
      <c r="G49" s="56"/>
      <c r="H49" s="86"/>
      <c r="I49" s="51"/>
      <c r="J49" s="51"/>
      <c r="K49" s="58"/>
      <c r="L49" s="59"/>
      <c r="M49" s="58"/>
      <c r="N49" s="58"/>
      <c r="O49" s="77"/>
      <c r="P49" s="81"/>
      <c r="Q49" s="37"/>
      <c r="R49" s="70"/>
      <c r="S49" s="70"/>
      <c r="T49" s="70"/>
      <c r="U49" s="71"/>
      <c r="V49" s="73"/>
      <c r="W49" s="75"/>
      <c r="X49" s="64"/>
      <c r="Y49" s="51"/>
      <c r="Z49" s="51"/>
      <c r="AA49" s="82"/>
      <c r="AB49" s="82"/>
      <c r="AC49" s="82"/>
      <c r="AD49" s="82"/>
      <c r="AE49" s="82"/>
      <c r="AF49" s="82"/>
      <c r="AG49" s="82"/>
      <c r="AH49" s="51"/>
      <c r="AI49" s="51"/>
    </row>
    <row r="50" spans="1:35">
      <c r="A50" s="87"/>
      <c r="B50" s="54"/>
      <c r="C50" s="51"/>
      <c r="D50" s="88"/>
      <c r="E50" s="88"/>
      <c r="F50" s="90"/>
      <c r="G50" s="91"/>
      <c r="H50" s="82"/>
      <c r="I50" s="87"/>
      <c r="J50" s="87"/>
      <c r="K50" s="58"/>
      <c r="L50" s="87"/>
      <c r="M50" s="58"/>
      <c r="N50" s="58"/>
      <c r="O50" s="51"/>
      <c r="P50" s="81"/>
      <c r="Q50" s="37"/>
      <c r="R50" s="70"/>
      <c r="S50" s="70"/>
      <c r="T50" s="70"/>
      <c r="U50" s="71"/>
      <c r="V50" s="73"/>
      <c r="W50" s="75"/>
      <c r="X50" s="78"/>
      <c r="Y50" s="54"/>
      <c r="Z50" s="54"/>
      <c r="AA50" s="82"/>
      <c r="AB50" s="82"/>
      <c r="AC50" s="82"/>
      <c r="AD50" s="82"/>
      <c r="AE50" s="82"/>
      <c r="AF50" s="82"/>
      <c r="AG50" s="82"/>
      <c r="AH50" s="51"/>
      <c r="AI50" s="51"/>
    </row>
    <row r="51" spans="1:35">
      <c r="A51" s="54"/>
      <c r="B51" s="54"/>
      <c r="C51" s="54"/>
      <c r="D51" s="51"/>
      <c r="E51" s="51"/>
      <c r="F51" s="56"/>
      <c r="G51" s="54"/>
      <c r="H51" s="86"/>
      <c r="I51" s="51"/>
      <c r="J51" s="51"/>
      <c r="K51" s="58"/>
      <c r="L51" s="59"/>
      <c r="M51" s="58"/>
      <c r="N51" s="58"/>
      <c r="O51" s="77"/>
      <c r="P51" s="81"/>
      <c r="Q51" s="37"/>
      <c r="R51" s="74"/>
      <c r="S51" s="70"/>
      <c r="T51" s="74"/>
      <c r="U51" s="71"/>
      <c r="V51" s="73"/>
      <c r="W51" s="75"/>
      <c r="X51" s="92"/>
      <c r="Y51" s="82"/>
      <c r="Z51" s="82"/>
      <c r="AA51" s="82"/>
      <c r="AB51" s="82"/>
      <c r="AC51" s="82"/>
      <c r="AD51" s="82"/>
      <c r="AE51" s="82"/>
      <c r="AF51" s="82"/>
      <c r="AG51" s="82"/>
      <c r="AH51" s="51"/>
      <c r="AI51" s="51"/>
    </row>
    <row r="52" spans="1:35">
      <c r="A52" s="54"/>
      <c r="B52" s="54"/>
      <c r="C52" s="51"/>
      <c r="D52" s="51"/>
      <c r="E52" s="51"/>
      <c r="F52" s="56"/>
      <c r="G52" s="54"/>
      <c r="H52" s="86"/>
      <c r="I52" s="51"/>
      <c r="J52" s="51"/>
      <c r="K52" s="58"/>
      <c r="L52" s="59"/>
      <c r="M52" s="58"/>
      <c r="N52" s="58"/>
      <c r="O52" s="77"/>
      <c r="P52" s="81"/>
      <c r="Q52" s="37"/>
      <c r="R52" s="70"/>
      <c r="S52" s="70"/>
      <c r="T52" s="70"/>
      <c r="U52" s="71"/>
      <c r="V52" s="73"/>
      <c r="W52" s="75"/>
      <c r="X52" s="64"/>
      <c r="Y52" s="51"/>
      <c r="Z52" s="51"/>
      <c r="AA52" s="82"/>
      <c r="AB52" s="82"/>
      <c r="AC52" s="82"/>
      <c r="AD52" s="82"/>
      <c r="AE52" s="82"/>
      <c r="AF52" s="82"/>
      <c r="AG52" s="82"/>
      <c r="AH52" s="51"/>
      <c r="AI52" s="51"/>
    </row>
    <row r="53" spans="1:35">
      <c r="A53" s="54"/>
      <c r="B53" s="54"/>
      <c r="C53" s="51"/>
      <c r="D53" s="51"/>
      <c r="E53" s="51"/>
      <c r="F53" s="56"/>
      <c r="G53" s="54"/>
      <c r="H53" s="86"/>
      <c r="I53" s="51"/>
      <c r="J53" s="51"/>
      <c r="K53" s="58"/>
      <c r="L53" s="59"/>
      <c r="M53" s="58"/>
      <c r="N53" s="58"/>
      <c r="O53" s="77"/>
      <c r="P53" s="81"/>
      <c r="Q53" s="37"/>
      <c r="R53" s="70"/>
      <c r="S53" s="70"/>
      <c r="T53" s="70"/>
      <c r="U53" s="71"/>
      <c r="V53" s="73"/>
      <c r="W53" s="75"/>
      <c r="X53" s="64"/>
      <c r="Y53" s="51"/>
      <c r="Z53" s="51"/>
      <c r="AA53" s="82"/>
      <c r="AB53" s="82"/>
      <c r="AC53" s="82"/>
      <c r="AD53" s="82"/>
      <c r="AE53" s="82"/>
      <c r="AF53" s="82"/>
      <c r="AG53" s="82"/>
      <c r="AH53" s="51"/>
      <c r="AI53" s="51"/>
    </row>
    <row r="54" spans="1:35">
      <c r="A54" s="54"/>
      <c r="B54" s="54"/>
      <c r="C54" s="51"/>
      <c r="D54" s="51"/>
      <c r="E54" s="51"/>
      <c r="F54" s="56"/>
      <c r="G54" s="54"/>
      <c r="H54" s="86"/>
      <c r="I54" s="51"/>
      <c r="J54" s="51"/>
      <c r="K54" s="58"/>
      <c r="L54" s="59"/>
      <c r="M54" s="58"/>
      <c r="N54" s="58"/>
      <c r="O54" s="77"/>
      <c r="P54" s="81"/>
      <c r="Q54" s="37"/>
      <c r="R54" s="70"/>
      <c r="S54" s="70"/>
      <c r="T54" s="70"/>
      <c r="U54" s="71"/>
      <c r="V54" s="73"/>
      <c r="W54" s="75"/>
      <c r="X54" s="64"/>
      <c r="Y54" s="51"/>
      <c r="Z54" s="51"/>
      <c r="AA54" s="82"/>
      <c r="AB54" s="82"/>
      <c r="AC54" s="82"/>
      <c r="AD54" s="82"/>
      <c r="AE54" s="82"/>
      <c r="AF54" s="82"/>
      <c r="AG54" s="82"/>
      <c r="AH54" s="51"/>
      <c r="AI54" s="51"/>
    </row>
    <row r="55" spans="1:35">
      <c r="A55" s="51"/>
      <c r="B55" s="54"/>
      <c r="C55" s="51"/>
      <c r="D55" s="54"/>
      <c r="E55" s="51"/>
      <c r="F55" s="55"/>
      <c r="G55" s="56"/>
      <c r="H55" s="57"/>
      <c r="I55" s="51"/>
      <c r="J55" s="51"/>
      <c r="K55" s="58"/>
      <c r="L55" s="59"/>
      <c r="M55" s="58"/>
      <c r="N55" s="58"/>
      <c r="O55" s="51"/>
      <c r="P55" s="81"/>
      <c r="Q55" s="37"/>
      <c r="R55" s="51"/>
      <c r="S55" s="51"/>
      <c r="T55" s="51"/>
      <c r="U55" s="51"/>
      <c r="V55" s="51"/>
      <c r="W55" s="51"/>
      <c r="X55" s="78"/>
      <c r="Y55" s="54"/>
      <c r="Z55" s="54"/>
      <c r="AA55" s="51"/>
      <c r="AB55" s="51"/>
      <c r="AC55" s="94"/>
      <c r="AD55" s="94"/>
      <c r="AE55" s="94"/>
      <c r="AF55" s="94"/>
      <c r="AG55" s="94"/>
      <c r="AH55" s="51"/>
      <c r="AI55" s="51"/>
    </row>
    <row r="56" spans="1:35">
      <c r="A56" s="54"/>
      <c r="B56" s="54"/>
      <c r="C56" s="51"/>
      <c r="D56" s="54"/>
      <c r="E56" s="51"/>
      <c r="F56" s="56"/>
      <c r="G56" s="54"/>
      <c r="H56" s="86"/>
      <c r="I56" s="51"/>
      <c r="J56" s="51"/>
      <c r="K56" s="58"/>
      <c r="L56" s="59"/>
      <c r="M56" s="58"/>
      <c r="N56" s="58"/>
      <c r="O56" s="77"/>
      <c r="P56" s="81"/>
      <c r="Q56" s="37"/>
      <c r="R56" s="74"/>
      <c r="S56" s="74"/>
      <c r="T56" s="74"/>
      <c r="U56" s="71"/>
      <c r="V56" s="73"/>
      <c r="W56" s="75"/>
      <c r="X56" s="64"/>
      <c r="Y56" s="51"/>
      <c r="Z56" s="51"/>
      <c r="AA56" s="82"/>
      <c r="AB56" s="82"/>
      <c r="AC56" s="82"/>
      <c r="AD56" s="82"/>
      <c r="AE56" s="82"/>
      <c r="AF56" s="82"/>
      <c r="AG56" s="82"/>
      <c r="AH56" s="51"/>
      <c r="AI56" s="51"/>
    </row>
    <row r="57" spans="1:35">
      <c r="A57" s="51"/>
      <c r="B57" s="51"/>
      <c r="C57" s="51"/>
      <c r="D57" s="51"/>
      <c r="E57" s="51"/>
      <c r="F57" s="55"/>
      <c r="G57" s="56"/>
      <c r="H57" s="57"/>
      <c r="I57" s="51"/>
      <c r="J57" s="51"/>
      <c r="K57" s="58"/>
      <c r="L57" s="59"/>
      <c r="M57" s="58"/>
      <c r="N57" s="58"/>
      <c r="O57" s="51"/>
      <c r="P57" s="81"/>
      <c r="Q57" s="37"/>
      <c r="R57" s="70"/>
      <c r="S57" s="70"/>
      <c r="T57" s="70"/>
      <c r="U57" s="71"/>
      <c r="V57" s="73"/>
      <c r="W57" s="75"/>
      <c r="X57" s="64"/>
      <c r="Y57" s="51"/>
      <c r="Z57" s="51"/>
      <c r="AA57" s="82"/>
      <c r="AB57" s="82"/>
      <c r="AC57" s="82"/>
      <c r="AD57" s="82"/>
      <c r="AE57" s="82"/>
      <c r="AF57" s="82"/>
      <c r="AG57" s="82"/>
      <c r="AH57" s="51"/>
      <c r="AI57" s="51"/>
    </row>
    <row r="58" spans="1:35">
      <c r="A58" s="54"/>
      <c r="B58" s="51"/>
      <c r="C58" s="51"/>
      <c r="D58" s="51"/>
      <c r="E58" s="51"/>
      <c r="F58" s="55"/>
      <c r="G58" s="56"/>
      <c r="H58" s="76"/>
      <c r="I58" s="51"/>
      <c r="J58" s="51"/>
      <c r="K58" s="58"/>
      <c r="L58" s="59"/>
      <c r="M58" s="58"/>
      <c r="N58" s="58"/>
      <c r="O58" s="77"/>
      <c r="P58" s="81"/>
      <c r="Q58" s="37"/>
      <c r="R58" s="70"/>
      <c r="S58" s="70"/>
      <c r="T58" s="70"/>
      <c r="U58" s="71"/>
      <c r="V58" s="73"/>
      <c r="W58" s="75"/>
      <c r="X58" s="85"/>
      <c r="Y58" s="65"/>
      <c r="Z58" s="65"/>
      <c r="AA58" s="82"/>
      <c r="AB58" s="82"/>
      <c r="AC58" s="82"/>
      <c r="AD58" s="82"/>
      <c r="AE58" s="82"/>
      <c r="AF58" s="82"/>
      <c r="AG58" s="82"/>
      <c r="AH58" s="51"/>
      <c r="AI58" s="51"/>
    </row>
    <row r="59" spans="1:35">
      <c r="A59" s="54"/>
      <c r="B59" s="51"/>
      <c r="C59" s="51"/>
      <c r="D59" s="51"/>
      <c r="E59" s="51"/>
      <c r="F59" s="55"/>
      <c r="G59" s="56"/>
      <c r="H59" s="76"/>
      <c r="I59" s="51"/>
      <c r="J59" s="51"/>
      <c r="K59" s="58"/>
      <c r="L59" s="59"/>
      <c r="M59" s="58"/>
      <c r="N59" s="58"/>
      <c r="O59" s="77"/>
      <c r="P59" s="81"/>
      <c r="Q59" s="37"/>
      <c r="R59" s="70"/>
      <c r="S59" s="70"/>
      <c r="T59" s="70"/>
      <c r="U59" s="71"/>
      <c r="V59" s="73"/>
      <c r="W59" s="75"/>
      <c r="X59" s="85"/>
      <c r="Y59" s="65"/>
      <c r="Z59" s="65"/>
      <c r="AA59" s="82"/>
      <c r="AB59" s="82"/>
      <c r="AC59" s="82"/>
      <c r="AD59" s="82"/>
      <c r="AE59" s="82"/>
      <c r="AF59" s="82"/>
      <c r="AG59" s="82"/>
      <c r="AH59" s="51"/>
      <c r="AI59" s="51"/>
    </row>
    <row r="60" spans="1:35">
      <c r="A60" s="54"/>
      <c r="B60" s="51"/>
      <c r="C60" s="51"/>
      <c r="D60" s="51"/>
      <c r="E60" s="51"/>
      <c r="F60" s="55"/>
      <c r="G60" s="56"/>
      <c r="H60" s="76"/>
      <c r="I60" s="51"/>
      <c r="J60" s="51"/>
      <c r="K60" s="58"/>
      <c r="L60" s="59"/>
      <c r="M60" s="58"/>
      <c r="N60" s="58"/>
      <c r="O60" s="77"/>
      <c r="P60" s="81"/>
      <c r="Q60" s="37"/>
      <c r="R60" s="70"/>
      <c r="S60" s="70"/>
      <c r="T60" s="70"/>
      <c r="U60" s="71"/>
      <c r="V60" s="73"/>
      <c r="W60" s="75"/>
      <c r="X60" s="85"/>
      <c r="Y60" s="65"/>
      <c r="Z60" s="65"/>
      <c r="AA60" s="82"/>
      <c r="AB60" s="82"/>
      <c r="AC60" s="82"/>
      <c r="AD60" s="82"/>
      <c r="AE60" s="82"/>
      <c r="AF60" s="82"/>
      <c r="AG60" s="82"/>
      <c r="AH60" s="51"/>
      <c r="AI60" s="51"/>
    </row>
    <row r="61" spans="1:35">
      <c r="A61" s="51"/>
      <c r="B61" s="51"/>
      <c r="C61" s="51"/>
      <c r="D61" s="51"/>
      <c r="E61" s="51"/>
      <c r="F61" s="55"/>
      <c r="G61" s="56"/>
      <c r="H61" s="57"/>
      <c r="I61" s="51"/>
      <c r="J61" s="51"/>
      <c r="K61" s="58"/>
      <c r="L61" s="59"/>
      <c r="M61" s="58"/>
      <c r="N61" s="58"/>
      <c r="O61" s="51"/>
      <c r="P61" s="95"/>
      <c r="Q61" s="37"/>
      <c r="R61" s="70"/>
      <c r="S61" s="70"/>
      <c r="T61" s="70"/>
      <c r="U61" s="71"/>
      <c r="V61" s="73"/>
      <c r="W61" s="75"/>
      <c r="X61" s="85"/>
      <c r="Y61" s="65"/>
      <c r="Z61" s="65"/>
      <c r="AA61" s="82"/>
      <c r="AB61" s="82"/>
      <c r="AC61" s="82"/>
      <c r="AD61" s="82"/>
      <c r="AE61" s="82"/>
      <c r="AF61" s="82"/>
      <c r="AG61" s="82"/>
      <c r="AH61" s="51"/>
      <c r="AI61" s="51"/>
    </row>
    <row r="62" spans="1:35">
      <c r="A62" s="51"/>
      <c r="B62" s="51"/>
      <c r="C62" s="51"/>
      <c r="D62" s="51"/>
      <c r="E62" s="51"/>
      <c r="F62" s="55"/>
      <c r="G62" s="56"/>
      <c r="H62" s="57"/>
      <c r="I62" s="51"/>
      <c r="J62" s="51"/>
      <c r="K62" s="58"/>
      <c r="L62" s="59"/>
      <c r="M62" s="58"/>
      <c r="N62" s="58"/>
      <c r="O62" s="51"/>
      <c r="P62" s="95"/>
      <c r="Q62" s="37"/>
      <c r="R62" s="70"/>
      <c r="S62" s="70"/>
      <c r="T62" s="70"/>
      <c r="U62" s="71"/>
      <c r="V62" s="73"/>
      <c r="W62" s="75"/>
      <c r="X62" s="64"/>
      <c r="Y62" s="51"/>
      <c r="Z62" s="51"/>
      <c r="AA62" s="82"/>
      <c r="AB62" s="82"/>
      <c r="AC62" s="82"/>
      <c r="AD62" s="82"/>
      <c r="AE62" s="82"/>
      <c r="AF62" s="82"/>
      <c r="AG62" s="82"/>
      <c r="AH62" s="51"/>
      <c r="AI62" s="51"/>
    </row>
    <row r="63" spans="1:35">
      <c r="A63" s="54"/>
      <c r="B63" s="51"/>
      <c r="C63" s="51"/>
      <c r="D63" s="51"/>
      <c r="E63" s="51"/>
      <c r="F63" s="55"/>
      <c r="G63" s="56"/>
      <c r="H63" s="76"/>
      <c r="I63" s="51"/>
      <c r="J63" s="51"/>
      <c r="K63" s="58"/>
      <c r="L63" s="59"/>
      <c r="M63" s="58"/>
      <c r="N63" s="58"/>
      <c r="O63" s="77"/>
      <c r="P63" s="81"/>
      <c r="Q63" s="37"/>
      <c r="R63" s="70"/>
      <c r="S63" s="70"/>
      <c r="T63" s="70"/>
      <c r="U63" s="71"/>
      <c r="V63" s="73"/>
      <c r="W63" s="75"/>
      <c r="X63" s="85"/>
      <c r="Y63" s="65"/>
      <c r="Z63" s="65"/>
      <c r="AA63" s="82"/>
      <c r="AB63" s="82"/>
      <c r="AC63" s="82"/>
      <c r="AD63" s="82"/>
      <c r="AE63" s="82"/>
      <c r="AF63" s="82"/>
      <c r="AG63" s="82"/>
      <c r="AH63" s="51"/>
      <c r="AI63" s="51"/>
    </row>
    <row r="64" spans="1:35">
      <c r="A64" s="54"/>
      <c r="B64" s="51"/>
      <c r="C64" s="51"/>
      <c r="D64" s="51"/>
      <c r="E64" s="51"/>
      <c r="F64" s="55"/>
      <c r="G64" s="56"/>
      <c r="H64" s="76"/>
      <c r="I64" s="51"/>
      <c r="J64" s="51"/>
      <c r="K64" s="58"/>
      <c r="L64" s="59"/>
      <c r="M64" s="58"/>
      <c r="N64" s="58"/>
      <c r="O64" s="77"/>
      <c r="P64" s="81"/>
      <c r="Q64" s="37"/>
      <c r="R64" s="70"/>
      <c r="S64" s="70"/>
      <c r="T64" s="70"/>
      <c r="U64" s="71"/>
      <c r="V64" s="73"/>
      <c r="W64" s="75"/>
      <c r="X64" s="85"/>
      <c r="Y64" s="65"/>
      <c r="Z64" s="65"/>
      <c r="AA64" s="82"/>
      <c r="AB64" s="82"/>
      <c r="AC64" s="82"/>
      <c r="AD64" s="82"/>
      <c r="AE64" s="82"/>
      <c r="AF64" s="82"/>
      <c r="AG64" s="82"/>
      <c r="AH64" s="51"/>
      <c r="AI64" s="51"/>
    </row>
    <row r="65" spans="1:35">
      <c r="A65" s="54"/>
      <c r="B65" s="51"/>
      <c r="C65" s="51"/>
      <c r="D65" s="51"/>
      <c r="E65" s="51"/>
      <c r="F65" s="55"/>
      <c r="G65" s="80"/>
      <c r="H65" s="76"/>
      <c r="I65" s="51"/>
      <c r="J65" s="51"/>
      <c r="K65" s="58"/>
      <c r="L65" s="59"/>
      <c r="M65" s="58"/>
      <c r="N65" s="58"/>
      <c r="O65" s="77"/>
      <c r="P65" s="81"/>
      <c r="Q65" s="37"/>
      <c r="R65" s="70"/>
      <c r="S65" s="70"/>
      <c r="T65" s="70"/>
      <c r="U65" s="71"/>
      <c r="V65" s="73"/>
      <c r="W65" s="75"/>
      <c r="X65" s="85"/>
      <c r="Y65" s="65"/>
      <c r="Z65" s="65"/>
      <c r="AA65" s="82"/>
      <c r="AB65" s="82"/>
      <c r="AC65" s="82"/>
      <c r="AD65" s="82"/>
      <c r="AE65" s="82"/>
      <c r="AF65" s="82"/>
      <c r="AG65" s="82"/>
      <c r="AH65" s="51"/>
      <c r="AI65" s="51"/>
    </row>
    <row r="66" spans="1:35">
      <c r="A66" s="54"/>
      <c r="B66" s="51"/>
      <c r="C66" s="51"/>
      <c r="D66" s="51"/>
      <c r="E66" s="51"/>
      <c r="F66" s="55"/>
      <c r="G66" s="56"/>
      <c r="H66" s="76"/>
      <c r="I66" s="51"/>
      <c r="J66" s="51"/>
      <c r="K66" s="58"/>
      <c r="L66" s="59"/>
      <c r="M66" s="58"/>
      <c r="N66" s="58"/>
      <c r="O66" s="77"/>
      <c r="P66" s="81"/>
      <c r="Q66" s="37"/>
      <c r="R66" s="70"/>
      <c r="S66" s="70"/>
      <c r="T66" s="70"/>
      <c r="U66" s="71"/>
      <c r="V66" s="73"/>
      <c r="W66" s="75"/>
      <c r="X66" s="85"/>
      <c r="Y66" s="65"/>
      <c r="Z66" s="65"/>
      <c r="AA66" s="82"/>
      <c r="AB66" s="82"/>
      <c r="AC66" s="82"/>
      <c r="AD66" s="82"/>
      <c r="AE66" s="82"/>
      <c r="AF66" s="82"/>
      <c r="AG66" s="82"/>
      <c r="AH66" s="51"/>
      <c r="AI66" s="51"/>
    </row>
    <row r="67" spans="1:35">
      <c r="A67" s="51"/>
      <c r="B67" s="51"/>
      <c r="C67" s="51"/>
      <c r="D67" s="51"/>
      <c r="E67" s="51"/>
      <c r="F67" s="55"/>
      <c r="G67" s="56"/>
      <c r="H67" s="57"/>
      <c r="I67" s="51"/>
      <c r="J67" s="51"/>
      <c r="K67" s="58"/>
      <c r="L67" s="59"/>
      <c r="M67" s="58"/>
      <c r="N67" s="58"/>
      <c r="O67" s="51"/>
      <c r="P67" s="81"/>
      <c r="Q67" s="37"/>
      <c r="R67" s="70"/>
      <c r="S67" s="70"/>
      <c r="T67" s="70"/>
      <c r="U67" s="71"/>
      <c r="V67" s="73"/>
      <c r="W67" s="75"/>
      <c r="X67" s="64"/>
      <c r="Y67" s="51"/>
      <c r="Z67" s="51"/>
      <c r="AA67" s="82"/>
      <c r="AB67" s="82"/>
      <c r="AC67" s="82"/>
      <c r="AD67" s="82"/>
      <c r="AE67" s="82"/>
      <c r="AF67" s="82"/>
      <c r="AG67" s="82"/>
      <c r="AH67" s="51"/>
      <c r="AI67" s="51"/>
    </row>
    <row r="68" spans="1:35">
      <c r="A68" s="54"/>
      <c r="B68" s="51"/>
      <c r="C68" s="51"/>
      <c r="D68" s="51"/>
      <c r="E68" s="51"/>
      <c r="F68" s="55"/>
      <c r="G68" s="56"/>
      <c r="H68" s="76"/>
      <c r="I68" s="51"/>
      <c r="J68" s="51"/>
      <c r="K68" s="58"/>
      <c r="L68" s="59"/>
      <c r="M68" s="58"/>
      <c r="N68" s="58"/>
      <c r="O68" s="77"/>
      <c r="P68" s="81"/>
      <c r="Q68" s="37"/>
      <c r="R68" s="70"/>
      <c r="S68" s="70"/>
      <c r="T68" s="70"/>
      <c r="U68" s="71"/>
      <c r="V68" s="73"/>
      <c r="W68" s="75"/>
      <c r="X68" s="64"/>
      <c r="Y68" s="51"/>
      <c r="Z68" s="51"/>
      <c r="AA68" s="82"/>
      <c r="AB68" s="82"/>
      <c r="AC68" s="82"/>
      <c r="AD68" s="82"/>
      <c r="AE68" s="82"/>
      <c r="AF68" s="82"/>
      <c r="AG68" s="82"/>
      <c r="AH68" s="51"/>
      <c r="AI68" s="51"/>
    </row>
    <row r="69" spans="1:35">
      <c r="A69" s="54"/>
      <c r="B69" s="51"/>
      <c r="C69" s="51"/>
      <c r="D69" s="51"/>
      <c r="E69" s="51"/>
      <c r="F69" s="55"/>
      <c r="G69" s="56"/>
      <c r="H69" s="76"/>
      <c r="I69" s="51"/>
      <c r="J69" s="51"/>
      <c r="K69" s="58"/>
      <c r="L69" s="59"/>
      <c r="M69" s="58"/>
      <c r="N69" s="58"/>
      <c r="O69" s="77"/>
      <c r="P69" s="99"/>
      <c r="Q69" s="37"/>
      <c r="R69" s="70"/>
      <c r="S69" s="70"/>
      <c r="T69" s="70"/>
      <c r="U69" s="71"/>
      <c r="V69" s="73"/>
      <c r="W69" s="75"/>
      <c r="X69" s="64"/>
      <c r="Y69" s="51"/>
      <c r="Z69" s="51"/>
      <c r="AA69" s="82"/>
      <c r="AB69" s="82"/>
      <c r="AC69" s="82"/>
      <c r="AD69" s="82"/>
      <c r="AE69" s="82"/>
      <c r="AF69" s="82"/>
      <c r="AG69" s="82"/>
      <c r="AH69" s="51"/>
      <c r="AI69" s="51"/>
    </row>
    <row r="70" spans="1:35">
      <c r="A70" s="54"/>
      <c r="B70" s="51"/>
      <c r="C70" s="51"/>
      <c r="D70" s="51"/>
      <c r="E70" s="51"/>
      <c r="F70" s="55"/>
      <c r="G70" s="56"/>
      <c r="H70" s="76"/>
      <c r="I70" s="51"/>
      <c r="J70" s="51"/>
      <c r="K70" s="58"/>
      <c r="L70" s="59"/>
      <c r="M70" s="58"/>
      <c r="N70" s="58"/>
      <c r="O70" s="77"/>
      <c r="P70" s="99"/>
      <c r="Q70" s="37"/>
      <c r="R70" s="70"/>
      <c r="S70" s="70"/>
      <c r="T70" s="70"/>
      <c r="U70" s="71"/>
      <c r="V70" s="73"/>
      <c r="W70" s="75"/>
      <c r="X70" s="64"/>
      <c r="Y70" s="51"/>
      <c r="Z70" s="51"/>
      <c r="AA70" s="82"/>
      <c r="AB70" s="82"/>
      <c r="AC70" s="82"/>
      <c r="AD70" s="82"/>
      <c r="AE70" s="82"/>
      <c r="AF70" s="82"/>
      <c r="AG70" s="82"/>
      <c r="AH70" s="51"/>
      <c r="AI70" s="51"/>
    </row>
    <row r="71" spans="1:35">
      <c r="A71" s="54"/>
      <c r="B71" s="51"/>
      <c r="C71" s="54"/>
      <c r="D71" s="51"/>
      <c r="E71" s="51"/>
      <c r="F71" s="55"/>
      <c r="G71" s="80"/>
      <c r="H71" s="76"/>
      <c r="I71" s="51"/>
      <c r="J71" s="51"/>
      <c r="K71" s="58"/>
      <c r="L71" s="59"/>
      <c r="M71" s="58"/>
      <c r="N71" s="58"/>
      <c r="O71" s="77"/>
      <c r="P71" s="99"/>
      <c r="Q71" s="37"/>
      <c r="R71" s="70"/>
      <c r="S71" s="70"/>
      <c r="T71" s="70"/>
      <c r="U71" s="71"/>
      <c r="V71" s="73"/>
      <c r="W71" s="75"/>
      <c r="X71" s="64"/>
      <c r="Y71" s="51"/>
      <c r="Z71" s="51"/>
      <c r="AA71" s="82"/>
      <c r="AB71" s="82"/>
      <c r="AC71" s="82"/>
      <c r="AD71" s="82"/>
      <c r="AE71" s="82"/>
      <c r="AF71" s="82"/>
      <c r="AG71" s="82"/>
      <c r="AH71" s="51"/>
      <c r="AI71" s="51"/>
    </row>
    <row r="72" spans="1:35">
      <c r="A72" s="54"/>
      <c r="B72" s="51"/>
      <c r="C72" s="51"/>
      <c r="D72" s="51"/>
      <c r="E72" s="51"/>
      <c r="F72" s="55"/>
      <c r="G72" s="56"/>
      <c r="H72" s="76"/>
      <c r="I72" s="51"/>
      <c r="J72" s="51"/>
      <c r="K72" s="58"/>
      <c r="L72" s="59"/>
      <c r="M72" s="58"/>
      <c r="N72" s="58"/>
      <c r="O72" s="77"/>
      <c r="P72" s="99"/>
      <c r="Q72" s="37"/>
      <c r="R72" s="70"/>
      <c r="S72" s="70"/>
      <c r="T72" s="70"/>
      <c r="U72" s="71"/>
      <c r="V72" s="73"/>
      <c r="W72" s="75"/>
      <c r="X72" s="64"/>
      <c r="Y72" s="51"/>
      <c r="Z72" s="51"/>
      <c r="AA72" s="82"/>
      <c r="AB72" s="82"/>
      <c r="AC72" s="82"/>
      <c r="AD72" s="82"/>
      <c r="AE72" s="82"/>
      <c r="AF72" s="82"/>
      <c r="AG72" s="82"/>
      <c r="AH72" s="51"/>
      <c r="AI72" s="51"/>
    </row>
    <row r="73" spans="1:35">
      <c r="A73" s="51"/>
      <c r="B73" s="51"/>
      <c r="C73" s="51"/>
      <c r="D73" s="51"/>
      <c r="E73" s="51"/>
      <c r="F73" s="55"/>
      <c r="G73" s="56"/>
      <c r="H73" s="57"/>
      <c r="I73" s="51"/>
      <c r="J73" s="51"/>
      <c r="K73" s="58"/>
      <c r="L73" s="59"/>
      <c r="M73" s="58"/>
      <c r="N73" s="58"/>
      <c r="O73" s="51"/>
      <c r="P73" s="51"/>
      <c r="Q73" s="37"/>
      <c r="R73" s="70"/>
      <c r="S73" s="70"/>
      <c r="T73" s="70"/>
      <c r="U73" s="71"/>
      <c r="V73" s="73"/>
      <c r="W73" s="75"/>
      <c r="X73" s="64"/>
      <c r="Y73" s="51"/>
      <c r="Z73" s="51"/>
      <c r="AH73" s="51"/>
      <c r="AI73" s="51"/>
    </row>
    <row r="74" spans="1:35">
      <c r="A74" s="51"/>
      <c r="B74" s="51"/>
      <c r="C74" s="54"/>
      <c r="D74" s="51"/>
      <c r="E74" s="51"/>
      <c r="F74" s="55"/>
      <c r="G74" s="56"/>
      <c r="H74" s="57"/>
      <c r="I74" s="51"/>
      <c r="J74" s="51"/>
      <c r="K74" s="58"/>
      <c r="L74" s="59"/>
      <c r="M74" s="58"/>
      <c r="N74" s="58"/>
      <c r="O74" s="51"/>
      <c r="P74" s="51"/>
      <c r="Q74" s="37"/>
      <c r="R74" s="70"/>
      <c r="S74" s="70"/>
      <c r="T74" s="70"/>
      <c r="U74" s="71"/>
      <c r="V74" s="73"/>
      <c r="W74" s="75"/>
      <c r="X74" s="64"/>
      <c r="Y74" s="51"/>
      <c r="Z74" s="51"/>
      <c r="AH74" s="51"/>
      <c r="AI74" s="51"/>
    </row>
    <row r="75" spans="1:35">
      <c r="A75" s="51"/>
      <c r="B75" s="51"/>
      <c r="C75" s="51"/>
      <c r="D75" s="51"/>
      <c r="E75" s="51"/>
      <c r="F75" s="55"/>
      <c r="G75" s="56"/>
      <c r="H75" s="57"/>
      <c r="I75" s="51"/>
      <c r="J75" s="51"/>
      <c r="K75" s="58"/>
      <c r="L75" s="59"/>
      <c r="M75" s="58"/>
      <c r="N75" s="58"/>
      <c r="O75" s="51"/>
      <c r="P75" s="51"/>
      <c r="Q75" s="37"/>
      <c r="R75" s="70"/>
      <c r="S75" s="70"/>
      <c r="T75" s="70"/>
      <c r="U75" s="71"/>
      <c r="V75" s="73"/>
      <c r="W75" s="75"/>
      <c r="X75" s="64"/>
      <c r="Y75" s="51"/>
      <c r="Z75" s="51"/>
      <c r="AH75" s="51"/>
      <c r="AI75" s="51"/>
    </row>
    <row r="76" spans="1:35">
      <c r="A76" s="51"/>
      <c r="B76" s="51"/>
      <c r="C76" s="51"/>
      <c r="D76" s="51"/>
      <c r="E76" s="51"/>
      <c r="F76" s="55"/>
      <c r="G76" s="56"/>
      <c r="H76" s="57"/>
      <c r="I76" s="51"/>
      <c r="J76" s="51"/>
      <c r="K76" s="58"/>
      <c r="L76" s="59"/>
      <c r="M76" s="58"/>
      <c r="N76" s="58"/>
      <c r="O76" s="51"/>
      <c r="P76" s="51"/>
      <c r="Q76" s="37"/>
      <c r="R76" s="70"/>
      <c r="S76" s="70"/>
      <c r="T76" s="70"/>
      <c r="U76" s="71"/>
      <c r="V76" s="73"/>
      <c r="W76" s="75"/>
      <c r="X76" s="64"/>
      <c r="Y76" s="51"/>
      <c r="Z76" s="51"/>
      <c r="AH76" s="51"/>
      <c r="AI76" s="51"/>
    </row>
    <row r="77" spans="1:35">
      <c r="A77" s="51"/>
      <c r="B77" s="51"/>
      <c r="C77" s="51"/>
      <c r="D77" s="51"/>
      <c r="E77" s="51"/>
      <c r="F77" s="55"/>
      <c r="G77" s="56"/>
      <c r="H77" s="57"/>
      <c r="I77" s="51"/>
      <c r="J77" s="51"/>
      <c r="K77" s="58"/>
      <c r="L77" s="59"/>
      <c r="M77" s="58"/>
      <c r="N77" s="58"/>
      <c r="O77" s="51"/>
      <c r="P77" s="51"/>
      <c r="Q77" s="37"/>
      <c r="R77" s="70"/>
      <c r="S77" s="70"/>
      <c r="T77" s="70"/>
      <c r="U77" s="71"/>
      <c r="V77" s="73"/>
      <c r="W77" s="75"/>
      <c r="X77" s="64"/>
      <c r="Y77" s="51"/>
      <c r="Z77" s="51"/>
      <c r="AH77" s="51"/>
      <c r="AI77" s="51"/>
    </row>
    <row r="78" spans="1:35">
      <c r="A78" s="51"/>
      <c r="B78" s="51"/>
      <c r="C78" s="51"/>
      <c r="D78" s="51"/>
      <c r="E78" s="51"/>
      <c r="F78" s="55"/>
      <c r="G78" s="56"/>
      <c r="H78" s="57"/>
      <c r="I78" s="51"/>
      <c r="J78" s="51"/>
      <c r="K78" s="58"/>
      <c r="L78" s="59"/>
      <c r="M78" s="58"/>
      <c r="N78" s="58"/>
      <c r="O78" s="51"/>
      <c r="P78" s="51"/>
      <c r="Q78" s="37"/>
      <c r="R78" s="70"/>
      <c r="S78" s="70"/>
      <c r="T78" s="70"/>
      <c r="U78" s="71"/>
      <c r="V78" s="73"/>
      <c r="W78" s="75"/>
      <c r="X78" s="64"/>
      <c r="Y78" s="51"/>
      <c r="Z78" s="51"/>
      <c r="AH78" s="51"/>
      <c r="AI78" s="51"/>
    </row>
    <row r="79" spans="1:35">
      <c r="A79" s="51"/>
      <c r="B79" s="51"/>
      <c r="C79" s="51"/>
      <c r="D79" s="51"/>
      <c r="E79" s="51"/>
      <c r="F79" s="55"/>
      <c r="G79" s="56"/>
      <c r="H79" s="57"/>
      <c r="I79" s="51"/>
      <c r="J79" s="51"/>
      <c r="K79" s="58"/>
      <c r="L79" s="59"/>
      <c r="M79" s="58"/>
      <c r="N79" s="58"/>
      <c r="O79" s="51"/>
      <c r="P79" s="51"/>
      <c r="Q79" s="37"/>
      <c r="R79" s="70"/>
      <c r="S79" s="70"/>
      <c r="T79" s="70"/>
      <c r="U79" s="71"/>
      <c r="V79" s="73"/>
      <c r="W79" s="75"/>
      <c r="X79" s="64"/>
      <c r="Y79" s="51"/>
      <c r="Z79" s="51"/>
      <c r="AH79" s="51"/>
      <c r="AI79" s="51"/>
    </row>
    <row r="80" spans="1:35">
      <c r="A80" s="51"/>
      <c r="B80" s="51"/>
      <c r="C80" s="51"/>
      <c r="D80" s="51"/>
      <c r="E80" s="51"/>
      <c r="F80" s="55"/>
      <c r="G80" s="56"/>
      <c r="H80" s="57"/>
      <c r="I80" s="51"/>
      <c r="J80" s="51"/>
      <c r="K80" s="58"/>
      <c r="L80" s="59"/>
      <c r="M80" s="58"/>
      <c r="N80" s="58"/>
      <c r="O80" s="51"/>
      <c r="P80" s="51"/>
      <c r="Q80" s="37"/>
      <c r="R80" s="70"/>
      <c r="S80" s="70"/>
      <c r="T80" s="70"/>
      <c r="U80" s="71"/>
      <c r="V80" s="73"/>
      <c r="W80" s="75"/>
      <c r="X80" s="64"/>
      <c r="Y80" s="51"/>
      <c r="Z80" s="51"/>
      <c r="AH80" s="51"/>
      <c r="AI80" s="51"/>
    </row>
    <row r="81" spans="1:35">
      <c r="A81" s="51"/>
      <c r="B81" s="51"/>
      <c r="C81" s="51"/>
      <c r="D81" s="51"/>
      <c r="E81" s="51"/>
      <c r="F81" s="55"/>
      <c r="G81" s="56"/>
      <c r="H81" s="57"/>
      <c r="I81" s="51"/>
      <c r="J81" s="51"/>
      <c r="K81" s="58"/>
      <c r="L81" s="59"/>
      <c r="M81" s="58"/>
      <c r="N81" s="58"/>
      <c r="O81" s="51"/>
      <c r="P81" s="51"/>
      <c r="Q81" s="37"/>
      <c r="R81" s="70"/>
      <c r="S81" s="70"/>
      <c r="T81" s="70"/>
      <c r="U81" s="71"/>
      <c r="V81" s="73"/>
      <c r="W81" s="75"/>
      <c r="X81" s="64"/>
      <c r="Y81" s="51"/>
      <c r="Z81" s="51"/>
      <c r="AH81" s="51"/>
      <c r="AI81" s="51"/>
    </row>
    <row r="82" spans="1:35">
      <c r="A82" s="51"/>
      <c r="B82" s="51"/>
      <c r="C82" s="51"/>
      <c r="D82" s="51"/>
      <c r="E82" s="51"/>
      <c r="F82" s="55"/>
      <c r="G82" s="56"/>
      <c r="H82" s="57"/>
      <c r="I82" s="51"/>
      <c r="J82" s="51"/>
      <c r="K82" s="58"/>
      <c r="L82" s="59"/>
      <c r="M82" s="58"/>
      <c r="N82" s="58"/>
      <c r="O82" s="51"/>
      <c r="P82" s="51"/>
      <c r="Q82" s="37"/>
      <c r="R82" s="70"/>
      <c r="S82" s="70"/>
      <c r="T82" s="70"/>
      <c r="U82" s="71"/>
      <c r="V82" s="73"/>
      <c r="W82" s="75"/>
      <c r="X82" s="64"/>
      <c r="Y82" s="51"/>
      <c r="Z82" s="51"/>
      <c r="AH82" s="51"/>
      <c r="AI82" s="51"/>
    </row>
    <row r="83" spans="1:35">
      <c r="A83" s="51"/>
      <c r="B83" s="51"/>
      <c r="C83" s="51"/>
      <c r="D83" s="51"/>
      <c r="E83" s="51"/>
      <c r="F83" s="55"/>
      <c r="G83" s="56"/>
      <c r="H83" s="57"/>
      <c r="I83" s="51"/>
      <c r="J83" s="51"/>
      <c r="K83" s="58"/>
      <c r="L83" s="59"/>
      <c r="M83" s="58"/>
      <c r="N83" s="58"/>
      <c r="O83" s="51"/>
      <c r="P83" s="51"/>
      <c r="Q83" s="37"/>
      <c r="R83" s="70"/>
      <c r="S83" s="70"/>
      <c r="T83" s="70"/>
      <c r="U83" s="71"/>
      <c r="V83" s="73"/>
      <c r="W83" s="75"/>
      <c r="X83" s="64"/>
      <c r="Y83" s="51"/>
      <c r="Z83" s="51"/>
      <c r="AH83" s="51"/>
      <c r="AI83" s="51"/>
    </row>
    <row r="84" spans="1:35">
      <c r="A84" s="51"/>
      <c r="B84" s="51"/>
      <c r="C84" s="51"/>
      <c r="D84" s="51"/>
      <c r="E84" s="51"/>
      <c r="F84" s="55"/>
      <c r="G84" s="56"/>
      <c r="H84" s="57"/>
      <c r="I84" s="51"/>
      <c r="J84" s="51"/>
      <c r="K84" s="58"/>
      <c r="L84" s="59"/>
      <c r="M84" s="58"/>
      <c r="N84" s="58"/>
      <c r="O84" s="51"/>
      <c r="P84" s="51"/>
      <c r="Q84" s="37"/>
      <c r="R84" s="70"/>
      <c r="S84" s="70"/>
      <c r="T84" s="70"/>
      <c r="U84" s="71"/>
      <c r="V84" s="73"/>
      <c r="W84" s="75"/>
      <c r="X84" s="64"/>
      <c r="Y84" s="51"/>
      <c r="Z84" s="51"/>
      <c r="AH84" s="51"/>
      <c r="AI84" s="51"/>
    </row>
    <row r="85" spans="1:35">
      <c r="A85" s="51"/>
      <c r="B85" s="51"/>
      <c r="C85" s="51"/>
      <c r="D85" s="51"/>
      <c r="E85" s="51"/>
      <c r="F85" s="55"/>
      <c r="G85" s="56"/>
      <c r="H85" s="57"/>
      <c r="I85" s="51"/>
      <c r="J85" s="51"/>
      <c r="K85" s="58"/>
      <c r="L85" s="59"/>
      <c r="M85" s="58"/>
      <c r="N85" s="58"/>
      <c r="O85" s="51"/>
      <c r="P85" s="51"/>
      <c r="Q85" s="37"/>
      <c r="R85" s="70"/>
      <c r="S85" s="70"/>
      <c r="T85" s="70"/>
      <c r="U85" s="71"/>
      <c r="V85" s="73"/>
      <c r="W85" s="75"/>
      <c r="X85" s="64"/>
      <c r="Y85" s="51"/>
      <c r="Z85" s="51"/>
      <c r="AH85" s="51"/>
      <c r="AI85" s="51"/>
    </row>
    <row r="86" spans="1:35">
      <c r="A86" s="51"/>
      <c r="B86" s="51"/>
      <c r="C86" s="54"/>
      <c r="D86" s="51"/>
      <c r="E86" s="51"/>
      <c r="F86" s="55"/>
      <c r="G86" s="56"/>
      <c r="H86" s="57"/>
      <c r="I86" s="51"/>
      <c r="J86" s="51"/>
      <c r="K86" s="58"/>
      <c r="L86" s="59"/>
      <c r="M86" s="58"/>
      <c r="N86" s="58"/>
      <c r="O86" s="51"/>
      <c r="P86" s="51"/>
      <c r="Q86" s="37"/>
      <c r="R86" s="70"/>
      <c r="S86" s="70"/>
      <c r="T86" s="70"/>
      <c r="U86" s="71"/>
      <c r="V86" s="73"/>
      <c r="W86" s="75"/>
      <c r="X86" s="64"/>
      <c r="Y86" s="51"/>
      <c r="Z86" s="51"/>
      <c r="AH86" s="51"/>
      <c r="AI86" s="51"/>
    </row>
    <row r="87" spans="1:35">
      <c r="A87" s="51"/>
      <c r="B87" s="51"/>
      <c r="C87" s="51"/>
      <c r="D87" s="51"/>
      <c r="E87" s="51"/>
      <c r="F87" s="55"/>
      <c r="G87" s="56"/>
      <c r="H87" s="57"/>
      <c r="I87" s="51"/>
      <c r="J87" s="51"/>
      <c r="K87" s="58"/>
      <c r="L87" s="59"/>
      <c r="M87" s="58"/>
      <c r="N87" s="58"/>
      <c r="O87" s="51"/>
      <c r="P87" s="51"/>
      <c r="Q87" s="37"/>
      <c r="R87" s="70"/>
      <c r="S87" s="70"/>
      <c r="T87" s="70"/>
      <c r="U87" s="71"/>
      <c r="V87" s="73"/>
      <c r="W87" s="75"/>
      <c r="X87" s="64"/>
      <c r="Y87" s="51"/>
      <c r="Z87" s="51"/>
      <c r="AH87" s="51"/>
      <c r="AI87" s="51"/>
    </row>
    <row r="88" spans="1:35">
      <c r="A88" s="51"/>
      <c r="B88" s="51"/>
      <c r="C88" s="51"/>
      <c r="D88" s="51"/>
      <c r="E88" s="51"/>
      <c r="F88" s="55"/>
      <c r="G88" s="56"/>
      <c r="H88" s="57"/>
      <c r="I88" s="51"/>
      <c r="J88" s="51"/>
      <c r="K88" s="58"/>
      <c r="L88" s="59"/>
      <c r="M88" s="58"/>
      <c r="N88" s="58"/>
      <c r="O88" s="51"/>
      <c r="P88" s="51"/>
      <c r="Q88" s="37"/>
      <c r="R88" s="70"/>
      <c r="S88" s="70"/>
      <c r="T88" s="70"/>
      <c r="U88" s="71"/>
      <c r="V88" s="73"/>
      <c r="W88" s="75"/>
      <c r="X88" s="64"/>
      <c r="Y88" s="51"/>
      <c r="Z88" s="51"/>
      <c r="AH88" s="51"/>
      <c r="AI88" s="51"/>
    </row>
    <row r="89" spans="1:35">
      <c r="A89" s="51"/>
      <c r="B89" s="51"/>
      <c r="C89" s="51"/>
      <c r="D89" s="51"/>
      <c r="E89" s="51"/>
      <c r="F89" s="55"/>
      <c r="G89" s="56"/>
      <c r="H89" s="57"/>
      <c r="I89" s="51"/>
      <c r="J89" s="51"/>
      <c r="K89" s="58"/>
      <c r="L89" s="59"/>
      <c r="M89" s="58"/>
      <c r="N89" s="58"/>
      <c r="O89" s="51"/>
      <c r="P89" s="51"/>
      <c r="Q89" s="37"/>
      <c r="R89" s="70"/>
      <c r="S89" s="70"/>
      <c r="T89" s="70"/>
      <c r="U89" s="71"/>
      <c r="V89" s="73"/>
      <c r="W89" s="75"/>
      <c r="X89" s="64"/>
      <c r="Y89" s="51"/>
      <c r="Z89" s="51"/>
      <c r="AH89" s="51"/>
      <c r="AI89" s="51"/>
    </row>
    <row r="90" spans="1:35">
      <c r="A90" s="51"/>
      <c r="B90" s="51"/>
      <c r="C90" s="51"/>
      <c r="D90" s="51"/>
      <c r="E90" s="51"/>
      <c r="F90" s="55"/>
      <c r="G90" s="56"/>
      <c r="H90" s="57"/>
      <c r="I90" s="51"/>
      <c r="J90" s="51"/>
      <c r="K90" s="58"/>
      <c r="L90" s="59"/>
      <c r="M90" s="58"/>
      <c r="N90" s="58"/>
      <c r="O90" s="51"/>
      <c r="P90" s="51"/>
      <c r="Q90" s="37"/>
      <c r="R90" s="70"/>
      <c r="S90" s="70"/>
      <c r="T90" s="70"/>
      <c r="U90" s="71"/>
      <c r="V90" s="73"/>
      <c r="W90" s="75"/>
      <c r="X90" s="64"/>
      <c r="Y90" s="51"/>
      <c r="Z90" s="51"/>
      <c r="AH90" s="51"/>
      <c r="AI90" s="51"/>
    </row>
    <row r="91" spans="1:35">
      <c r="A91" s="51"/>
      <c r="B91" s="51"/>
      <c r="C91" s="54"/>
      <c r="D91" s="51"/>
      <c r="E91" s="51"/>
      <c r="F91" s="55"/>
      <c r="G91" s="56"/>
      <c r="H91" s="57"/>
      <c r="I91" s="51"/>
      <c r="J91" s="51"/>
      <c r="K91" s="58"/>
      <c r="L91" s="59"/>
      <c r="M91" s="58"/>
      <c r="N91" s="58"/>
      <c r="O91" s="51"/>
      <c r="P91" s="51"/>
      <c r="Q91" s="37"/>
      <c r="R91" s="70"/>
      <c r="S91" s="70"/>
      <c r="T91" s="70"/>
      <c r="U91" s="71"/>
      <c r="V91" s="73"/>
      <c r="W91" s="75"/>
      <c r="X91" s="64"/>
      <c r="Y91" s="51"/>
      <c r="Z91" s="51"/>
      <c r="AH91" s="51"/>
      <c r="AI91" s="51"/>
    </row>
    <row r="92" spans="1:35">
      <c r="A92" s="51"/>
      <c r="B92" s="51"/>
      <c r="C92" s="51"/>
      <c r="D92" s="51"/>
      <c r="E92" s="51"/>
      <c r="F92" s="55"/>
      <c r="G92" s="56"/>
      <c r="H92" s="57"/>
      <c r="I92" s="51"/>
      <c r="J92" s="51"/>
      <c r="K92" s="58"/>
      <c r="L92" s="59"/>
      <c r="M92" s="58"/>
      <c r="N92" s="58"/>
      <c r="O92" s="51"/>
      <c r="P92" s="51"/>
      <c r="Q92" s="37"/>
      <c r="R92" s="70"/>
      <c r="S92" s="70"/>
      <c r="T92" s="70"/>
      <c r="U92" s="71"/>
      <c r="V92" s="73"/>
      <c r="W92" s="75"/>
      <c r="X92" s="64"/>
      <c r="Y92" s="51"/>
      <c r="Z92" s="51"/>
      <c r="AH92" s="51"/>
      <c r="AI92" s="51"/>
    </row>
    <row r="93" spans="1:35">
      <c r="A93" s="51"/>
      <c r="B93" s="51"/>
      <c r="C93" s="51"/>
      <c r="D93" s="51"/>
      <c r="E93" s="51"/>
      <c r="F93" s="55"/>
      <c r="G93" s="56"/>
      <c r="H93" s="57"/>
      <c r="I93" s="51"/>
      <c r="J93" s="51"/>
      <c r="K93" s="58"/>
      <c r="L93" s="59"/>
      <c r="M93" s="58"/>
      <c r="N93" s="58"/>
      <c r="O93" s="51"/>
      <c r="P93" s="51"/>
      <c r="Q93" s="37"/>
      <c r="R93" s="70"/>
      <c r="S93" s="70"/>
      <c r="T93" s="70"/>
      <c r="U93" s="71"/>
      <c r="V93" s="73"/>
      <c r="W93" s="75"/>
      <c r="X93" s="64"/>
      <c r="Y93" s="51"/>
      <c r="Z93" s="51"/>
      <c r="AH93" s="51"/>
      <c r="AI93" s="51"/>
    </row>
    <row r="94" spans="1:35">
      <c r="A94" s="51"/>
      <c r="B94" s="51"/>
      <c r="C94" s="51"/>
      <c r="D94" s="51"/>
      <c r="E94" s="51"/>
      <c r="F94" s="55"/>
      <c r="G94" s="56"/>
      <c r="H94" s="57"/>
      <c r="I94" s="51"/>
      <c r="J94" s="51"/>
      <c r="K94" s="58"/>
      <c r="L94" s="59"/>
      <c r="M94" s="58"/>
      <c r="N94" s="58"/>
      <c r="O94" s="51"/>
      <c r="P94" s="51"/>
      <c r="Q94" s="37"/>
      <c r="R94" s="70"/>
      <c r="S94" s="70"/>
      <c r="T94" s="70"/>
      <c r="U94" s="71"/>
      <c r="V94" s="73"/>
      <c r="W94" s="75"/>
      <c r="X94" s="64"/>
      <c r="Y94" s="51"/>
      <c r="Z94" s="51"/>
      <c r="AH94" s="51"/>
      <c r="AI94" s="51"/>
    </row>
    <row r="95" spans="1:35">
      <c r="A95" s="51"/>
      <c r="B95" s="51"/>
      <c r="C95" s="51"/>
      <c r="D95" s="51"/>
      <c r="E95" s="51"/>
      <c r="F95" s="55"/>
      <c r="G95" s="56"/>
      <c r="H95" s="57"/>
      <c r="I95" s="51"/>
      <c r="J95" s="51"/>
      <c r="K95" s="58"/>
      <c r="L95" s="59"/>
      <c r="M95" s="58"/>
      <c r="N95" s="58"/>
      <c r="O95" s="51"/>
      <c r="P95" s="51"/>
      <c r="Q95" s="37"/>
      <c r="R95" s="70"/>
      <c r="S95" s="70"/>
      <c r="T95" s="70"/>
      <c r="U95" s="71"/>
      <c r="V95" s="73"/>
      <c r="W95" s="75"/>
      <c r="X95" s="64"/>
      <c r="Y95" s="51"/>
      <c r="Z95" s="51"/>
      <c r="AH95" s="51"/>
      <c r="AI95" s="51"/>
    </row>
    <row r="96" spans="1:35">
      <c r="A96" s="51"/>
      <c r="B96" s="51"/>
      <c r="C96" s="51"/>
      <c r="D96" s="51"/>
      <c r="E96" s="51"/>
      <c r="F96" s="55"/>
      <c r="G96" s="56"/>
      <c r="H96" s="57"/>
      <c r="I96" s="51"/>
      <c r="J96" s="51"/>
      <c r="K96" s="58"/>
      <c r="L96" s="59"/>
      <c r="M96" s="58"/>
      <c r="N96" s="58"/>
      <c r="O96" s="51"/>
      <c r="P96" s="51"/>
      <c r="Q96" s="37"/>
      <c r="R96" s="70"/>
      <c r="S96" s="70"/>
      <c r="T96" s="70"/>
      <c r="U96" s="71"/>
      <c r="V96" s="73"/>
      <c r="W96" s="75"/>
      <c r="X96" s="64"/>
      <c r="Y96" s="51"/>
      <c r="Z96" s="51"/>
      <c r="AH96" s="51"/>
      <c r="AI96" s="51"/>
    </row>
    <row r="97" spans="1:35">
      <c r="A97" s="51"/>
      <c r="B97" s="51"/>
      <c r="C97" s="51"/>
      <c r="D97" s="51"/>
      <c r="E97" s="51"/>
      <c r="F97" s="55"/>
      <c r="G97" s="56"/>
      <c r="H97" s="57"/>
      <c r="I97" s="51"/>
      <c r="J97" s="51"/>
      <c r="K97" s="58"/>
      <c r="L97" s="59"/>
      <c r="M97" s="58"/>
      <c r="N97" s="58"/>
      <c r="O97" s="51"/>
      <c r="P97" s="51"/>
      <c r="Q97" s="37"/>
      <c r="R97" s="70"/>
      <c r="S97" s="70"/>
      <c r="T97" s="70"/>
      <c r="U97" s="71"/>
      <c r="V97" s="73"/>
      <c r="W97" s="75"/>
      <c r="X97" s="64"/>
      <c r="Y97" s="51"/>
      <c r="Z97" s="51"/>
      <c r="AH97" s="51"/>
      <c r="AI97" s="51"/>
    </row>
    <row r="98" spans="1:35">
      <c r="A98" s="51"/>
      <c r="B98" s="51"/>
      <c r="C98" s="51"/>
      <c r="D98" s="51"/>
      <c r="E98" s="51"/>
      <c r="F98" s="55"/>
      <c r="G98" s="56"/>
      <c r="H98" s="57"/>
      <c r="I98" s="51"/>
      <c r="J98" s="51"/>
      <c r="K98" s="58"/>
      <c r="L98" s="59"/>
      <c r="M98" s="58"/>
      <c r="N98" s="58"/>
      <c r="O98" s="51"/>
      <c r="P98" s="51"/>
      <c r="Q98" s="37"/>
      <c r="R98" s="70"/>
      <c r="S98" s="70"/>
      <c r="T98" s="70"/>
      <c r="U98" s="71"/>
      <c r="V98" s="73"/>
      <c r="W98" s="75"/>
      <c r="X98" s="64"/>
      <c r="Y98" s="51"/>
      <c r="Z98" s="51"/>
      <c r="AH98" s="51"/>
      <c r="AI98" s="51"/>
    </row>
    <row r="99" spans="1:35">
      <c r="A99" s="51"/>
      <c r="B99" s="51"/>
      <c r="C99" s="51"/>
      <c r="D99" s="51"/>
      <c r="E99" s="51"/>
      <c r="F99" s="55"/>
      <c r="G99" s="56"/>
      <c r="H99" s="57"/>
      <c r="I99" s="51"/>
      <c r="J99" s="51"/>
      <c r="K99" s="58"/>
      <c r="L99" s="59"/>
      <c r="M99" s="58"/>
      <c r="N99" s="58"/>
      <c r="O99" s="51"/>
      <c r="P99" s="51"/>
      <c r="Q99" s="37"/>
      <c r="R99" s="70"/>
      <c r="S99" s="70"/>
      <c r="T99" s="70"/>
      <c r="U99" s="71"/>
      <c r="V99" s="73"/>
      <c r="W99" s="75"/>
      <c r="X99" s="64"/>
      <c r="Y99" s="51"/>
      <c r="Z99" s="51"/>
      <c r="AH99" s="51"/>
      <c r="AI99" s="51"/>
    </row>
    <row r="100" spans="1:35">
      <c r="A100" s="51"/>
      <c r="B100" s="51"/>
      <c r="C100" s="51"/>
      <c r="D100" s="51"/>
      <c r="E100" s="51"/>
      <c r="F100" s="55"/>
      <c r="G100" s="56"/>
      <c r="H100" s="57"/>
      <c r="I100" s="51"/>
      <c r="J100" s="51"/>
      <c r="K100" s="58"/>
      <c r="L100" s="59"/>
      <c r="M100" s="58"/>
      <c r="N100" s="58"/>
      <c r="O100" s="51"/>
      <c r="P100" s="51"/>
      <c r="Q100" s="37"/>
      <c r="R100" s="70"/>
      <c r="S100" s="70"/>
      <c r="T100" s="70"/>
      <c r="U100" s="71"/>
      <c r="V100" s="73"/>
      <c r="W100" s="75"/>
      <c r="X100" s="64"/>
      <c r="Y100" s="51"/>
      <c r="Z100" s="51"/>
      <c r="AH100" s="51"/>
      <c r="AI100" s="51"/>
    </row>
    <row r="101" spans="1:35">
      <c r="A101" s="51"/>
      <c r="B101" s="51"/>
      <c r="C101" s="51"/>
      <c r="D101" s="51"/>
      <c r="E101" s="51"/>
      <c r="F101" s="55"/>
      <c r="G101" s="56"/>
      <c r="H101" s="57"/>
      <c r="I101" s="51"/>
      <c r="J101" s="51"/>
      <c r="K101" s="58"/>
      <c r="L101" s="59"/>
      <c r="M101" s="58"/>
      <c r="N101" s="58"/>
      <c r="O101" s="51"/>
      <c r="P101" s="51"/>
      <c r="Q101" s="37"/>
      <c r="R101" s="70"/>
      <c r="S101" s="70"/>
      <c r="T101" s="70"/>
      <c r="U101" s="71"/>
      <c r="V101" s="73"/>
      <c r="W101" s="75"/>
      <c r="X101" s="64"/>
      <c r="Y101" s="51"/>
      <c r="Z101" s="51"/>
      <c r="AH101" s="18"/>
      <c r="AI101" s="18"/>
    </row>
    <row r="102" spans="1:35">
      <c r="A102" s="51"/>
      <c r="B102" s="51"/>
      <c r="C102" s="51"/>
      <c r="D102" s="51"/>
      <c r="E102" s="51"/>
      <c r="F102" s="55"/>
      <c r="G102" s="56"/>
      <c r="H102" s="57"/>
      <c r="I102" s="51"/>
      <c r="J102" s="51"/>
      <c r="K102" s="58"/>
      <c r="L102" s="59"/>
      <c r="M102" s="58"/>
      <c r="N102" s="58"/>
      <c r="O102" s="51"/>
      <c r="P102" s="60"/>
      <c r="Q102" s="37"/>
      <c r="R102" s="104"/>
      <c r="S102" s="70"/>
      <c r="T102" s="70"/>
      <c r="U102" s="71"/>
      <c r="V102" s="73"/>
      <c r="W102" s="75"/>
      <c r="X102" s="64"/>
      <c r="Y102" s="51"/>
      <c r="Z102" s="51"/>
      <c r="AH102" s="18"/>
      <c r="AI102" s="18"/>
    </row>
    <row r="103" spans="1:35">
      <c r="A103" s="105"/>
      <c r="B103" s="51"/>
      <c r="C103" s="54"/>
      <c r="D103" s="51"/>
      <c r="E103" s="51"/>
      <c r="F103" s="51"/>
      <c r="G103" s="51"/>
      <c r="H103" s="76"/>
      <c r="I103" s="51"/>
      <c r="J103" s="51"/>
      <c r="K103" s="58"/>
      <c r="L103" s="59"/>
      <c r="M103" s="58"/>
      <c r="N103" s="58"/>
      <c r="O103" s="77"/>
      <c r="P103" s="60"/>
      <c r="Q103" s="37"/>
      <c r="R103" s="104"/>
      <c r="S103" s="70"/>
      <c r="T103" s="70"/>
      <c r="U103" s="71"/>
      <c r="V103" s="73"/>
      <c r="W103" s="75"/>
      <c r="X103" s="64"/>
      <c r="Y103" s="51"/>
      <c r="Z103" s="51"/>
      <c r="AH103" s="18"/>
      <c r="AI103" s="18"/>
    </row>
    <row r="104" spans="1:35">
      <c r="A104" s="105"/>
      <c r="B104" s="51"/>
      <c r="C104" s="51"/>
      <c r="D104" s="51"/>
      <c r="E104" s="51"/>
      <c r="F104" s="51"/>
      <c r="G104" s="51"/>
      <c r="H104" s="57"/>
      <c r="I104" s="51"/>
      <c r="J104" s="51"/>
      <c r="K104" s="58"/>
      <c r="L104" s="59"/>
      <c r="M104" s="58"/>
      <c r="N104" s="58"/>
      <c r="O104" s="77"/>
      <c r="P104" s="60"/>
      <c r="Q104" s="37"/>
      <c r="R104" s="104"/>
      <c r="S104" s="70"/>
      <c r="T104" s="70"/>
      <c r="U104" s="71"/>
      <c r="V104" s="73"/>
      <c r="W104" s="75"/>
      <c r="X104" s="64"/>
      <c r="Y104" s="51"/>
      <c r="Z104" s="51"/>
      <c r="AH104" s="18"/>
      <c r="AI104" s="18"/>
    </row>
    <row r="105" spans="1:35">
      <c r="A105" s="105"/>
      <c r="B105" s="51"/>
      <c r="C105" s="51"/>
      <c r="D105" s="51"/>
      <c r="E105" s="51"/>
      <c r="F105" s="51"/>
      <c r="G105" s="51"/>
      <c r="H105" s="37"/>
      <c r="I105" s="51"/>
      <c r="J105" s="51"/>
      <c r="K105" s="58"/>
      <c r="L105" s="59"/>
      <c r="M105" s="58"/>
      <c r="N105" s="58"/>
      <c r="O105" s="77"/>
      <c r="P105" s="60"/>
      <c r="Q105" s="37"/>
      <c r="R105" s="104"/>
      <c r="S105" s="70"/>
      <c r="T105" s="70"/>
      <c r="U105" s="71"/>
      <c r="V105" s="73"/>
      <c r="W105" s="75"/>
      <c r="X105" s="64"/>
      <c r="Y105" s="51"/>
      <c r="Z105" s="51"/>
      <c r="AH105" s="18"/>
      <c r="AI105" s="18"/>
    </row>
    <row r="106" spans="1:35">
      <c r="A106" s="105"/>
      <c r="B106" s="51"/>
      <c r="C106" s="54"/>
      <c r="D106" s="51"/>
      <c r="E106" s="51"/>
      <c r="F106" s="51"/>
      <c r="G106" s="51"/>
      <c r="H106" s="57"/>
      <c r="I106" s="51"/>
      <c r="J106" s="51"/>
      <c r="K106" s="58"/>
      <c r="L106" s="59"/>
      <c r="M106" s="58"/>
      <c r="N106" s="58"/>
      <c r="O106" s="77"/>
      <c r="P106" s="60"/>
      <c r="Q106" s="37"/>
      <c r="R106" s="104"/>
      <c r="S106" s="70"/>
      <c r="T106" s="70"/>
      <c r="U106" s="71"/>
      <c r="V106" s="73"/>
      <c r="W106" s="75"/>
      <c r="X106" s="64"/>
      <c r="Y106" s="51"/>
      <c r="Z106" s="51"/>
      <c r="AH106" s="18"/>
      <c r="AI106" s="18"/>
    </row>
    <row r="107" spans="1:35">
      <c r="A107" s="105"/>
      <c r="B107" s="51"/>
      <c r="C107" s="51"/>
      <c r="D107" s="51"/>
      <c r="E107" s="51"/>
      <c r="F107" s="51"/>
      <c r="G107" s="51"/>
      <c r="H107" s="37"/>
      <c r="I107" s="51"/>
      <c r="J107" s="51"/>
      <c r="K107" s="58"/>
      <c r="L107" s="59"/>
      <c r="M107" s="58"/>
      <c r="N107" s="58"/>
      <c r="O107" s="77"/>
      <c r="P107" s="60"/>
      <c r="Q107" s="37"/>
      <c r="R107" s="104"/>
      <c r="S107" s="70"/>
      <c r="T107" s="70"/>
      <c r="U107" s="71"/>
      <c r="V107" s="73"/>
      <c r="W107" s="75"/>
      <c r="X107" s="64"/>
      <c r="Y107" s="51"/>
      <c r="Z107" s="51"/>
      <c r="AH107" s="18"/>
      <c r="AI107" s="18"/>
    </row>
    <row r="108" spans="1:35">
      <c r="A108" s="105"/>
      <c r="B108" s="51"/>
      <c r="C108" s="51"/>
      <c r="D108" s="51"/>
      <c r="E108" s="51"/>
      <c r="F108" s="51"/>
      <c r="G108" s="51"/>
      <c r="H108" s="37"/>
      <c r="I108" s="51"/>
      <c r="J108" s="51"/>
      <c r="K108" s="58"/>
      <c r="L108" s="59"/>
      <c r="M108" s="58"/>
      <c r="N108" s="58"/>
      <c r="O108" s="77"/>
      <c r="P108" s="60"/>
      <c r="Q108" s="37"/>
      <c r="R108" s="104"/>
      <c r="S108" s="70"/>
      <c r="T108" s="70"/>
      <c r="U108" s="71"/>
      <c r="V108" s="73"/>
      <c r="W108" s="75"/>
      <c r="X108" s="64"/>
      <c r="Y108" s="51"/>
      <c r="Z108" s="51"/>
      <c r="AH108" s="18"/>
      <c r="AI108" s="18"/>
    </row>
    <row r="109" spans="1:35">
      <c r="A109" s="105"/>
      <c r="B109" s="51"/>
      <c r="C109" s="51"/>
      <c r="D109" s="51"/>
      <c r="E109" s="51"/>
      <c r="F109" s="51"/>
      <c r="G109" s="51"/>
      <c r="H109" s="57"/>
      <c r="I109" s="51"/>
      <c r="J109" s="51"/>
      <c r="K109" s="58"/>
      <c r="L109" s="59"/>
      <c r="M109" s="58"/>
      <c r="N109" s="58"/>
      <c r="O109" s="77"/>
      <c r="P109" s="60"/>
      <c r="Q109" s="37"/>
      <c r="R109" s="104"/>
      <c r="S109" s="70"/>
      <c r="T109" s="70"/>
      <c r="U109" s="71"/>
      <c r="V109" s="73"/>
      <c r="W109" s="75"/>
      <c r="X109" s="64"/>
      <c r="Y109" s="51"/>
      <c r="Z109" s="51"/>
      <c r="AH109" s="18"/>
      <c r="AI109" s="18"/>
    </row>
    <row r="110" spans="1:35">
      <c r="A110" s="105"/>
      <c r="B110" s="51"/>
      <c r="C110" s="51"/>
      <c r="D110" s="51"/>
      <c r="E110" s="51"/>
      <c r="F110" s="51"/>
      <c r="G110" s="51"/>
      <c r="H110" s="76"/>
      <c r="I110" s="51"/>
      <c r="J110" s="51"/>
      <c r="K110" s="58"/>
      <c r="L110" s="59"/>
      <c r="M110" s="58"/>
      <c r="N110" s="58"/>
      <c r="O110" s="77"/>
      <c r="P110" s="60"/>
      <c r="Q110" s="37"/>
      <c r="R110" s="104"/>
      <c r="S110" s="70"/>
      <c r="T110" s="70"/>
      <c r="U110" s="71"/>
      <c r="V110" s="73"/>
      <c r="W110" s="75"/>
      <c r="X110" s="64"/>
      <c r="Y110" s="51"/>
      <c r="Z110" s="51"/>
      <c r="AH110" s="18"/>
      <c r="AI110" s="18"/>
    </row>
    <row r="111" spans="1:35">
      <c r="A111" s="105"/>
      <c r="B111" s="51"/>
      <c r="C111" s="51"/>
      <c r="D111" s="51"/>
      <c r="E111" s="51"/>
      <c r="F111" s="51"/>
      <c r="G111" s="54"/>
      <c r="H111" s="57"/>
      <c r="I111" s="51"/>
      <c r="J111" s="51"/>
      <c r="K111" s="58"/>
      <c r="L111" s="59"/>
      <c r="M111" s="58"/>
      <c r="N111" s="58"/>
      <c r="O111" s="77"/>
      <c r="P111" s="60"/>
      <c r="Q111" s="37"/>
      <c r="R111" s="104"/>
      <c r="S111" s="70"/>
      <c r="T111" s="70"/>
      <c r="U111" s="71"/>
      <c r="V111" s="73"/>
      <c r="W111" s="75"/>
      <c r="X111" s="64"/>
      <c r="Y111" s="51"/>
      <c r="Z111" s="51"/>
      <c r="AH111" s="18"/>
      <c r="AI111" s="18"/>
    </row>
    <row r="112" spans="1:35">
      <c r="A112" s="105"/>
      <c r="B112" s="51"/>
      <c r="C112" s="51"/>
      <c r="D112" s="51"/>
      <c r="E112" s="51"/>
      <c r="F112" s="51"/>
      <c r="G112" s="51"/>
      <c r="H112" s="57"/>
      <c r="I112" s="51"/>
      <c r="J112" s="51"/>
      <c r="K112" s="58"/>
      <c r="L112" s="59"/>
      <c r="M112" s="58"/>
      <c r="N112" s="58"/>
      <c r="O112" s="77"/>
      <c r="P112" s="60"/>
      <c r="Q112" s="37"/>
      <c r="R112" s="104"/>
      <c r="S112" s="70"/>
      <c r="T112" s="70"/>
      <c r="U112" s="71"/>
      <c r="V112" s="73"/>
      <c r="W112" s="75"/>
      <c r="X112" s="64"/>
      <c r="Y112" s="51"/>
      <c r="Z112" s="51"/>
      <c r="AH112" s="18"/>
      <c r="AI112" s="18"/>
    </row>
    <row r="113" spans="1:35">
      <c r="A113" s="105"/>
      <c r="B113" s="51"/>
      <c r="C113" s="51"/>
      <c r="D113" s="51"/>
      <c r="E113" s="51"/>
      <c r="F113" s="51"/>
      <c r="G113" s="51"/>
      <c r="H113" s="57"/>
      <c r="I113" s="51"/>
      <c r="J113" s="51"/>
      <c r="K113" s="58"/>
      <c r="L113" s="59"/>
      <c r="M113" s="58"/>
      <c r="N113" s="58"/>
      <c r="O113" s="77"/>
      <c r="P113" s="60"/>
      <c r="Q113" s="37"/>
      <c r="R113" s="104"/>
      <c r="S113" s="70"/>
      <c r="T113" s="70"/>
      <c r="U113" s="71"/>
      <c r="V113" s="73"/>
      <c r="W113" s="75"/>
      <c r="X113" s="64"/>
      <c r="Y113" s="51"/>
      <c r="Z113" s="51"/>
      <c r="AH113" s="18"/>
      <c r="AI113" s="18"/>
    </row>
    <row r="114" spans="1:35">
      <c r="A114" s="105"/>
      <c r="B114" s="51"/>
      <c r="C114" s="51"/>
      <c r="D114" s="51"/>
      <c r="E114" s="51"/>
      <c r="F114" s="51"/>
      <c r="G114" s="51"/>
      <c r="H114" s="57"/>
      <c r="I114" s="51"/>
      <c r="J114" s="51"/>
      <c r="K114" s="58"/>
      <c r="L114" s="59"/>
      <c r="M114" s="58"/>
      <c r="N114" s="58"/>
      <c r="O114" s="77"/>
      <c r="P114" s="60"/>
      <c r="Q114" s="37"/>
      <c r="R114" s="104"/>
      <c r="S114" s="70"/>
      <c r="T114" s="70"/>
      <c r="U114" s="71"/>
      <c r="V114" s="73"/>
      <c r="W114" s="75"/>
      <c r="X114" s="64"/>
      <c r="Y114" s="51"/>
      <c r="Z114" s="51"/>
      <c r="AH114" s="18"/>
      <c r="AI114" s="18"/>
    </row>
    <row r="115" spans="1:35">
      <c r="A115" s="105"/>
      <c r="B115" s="51"/>
      <c r="C115" s="51"/>
      <c r="D115" s="51"/>
      <c r="E115" s="51"/>
      <c r="F115" s="51"/>
      <c r="G115" s="51"/>
      <c r="H115" s="57"/>
      <c r="I115" s="51"/>
      <c r="J115" s="51"/>
      <c r="K115" s="58"/>
      <c r="L115" s="59"/>
      <c r="M115" s="58"/>
      <c r="N115" s="58"/>
      <c r="O115" s="77"/>
      <c r="P115" s="60"/>
      <c r="Q115" s="37"/>
      <c r="R115" s="104"/>
      <c r="S115" s="70"/>
      <c r="T115" s="70"/>
      <c r="U115" s="71"/>
      <c r="V115" s="73"/>
      <c r="W115" s="75"/>
      <c r="X115" s="64"/>
      <c r="Y115" s="51"/>
      <c r="Z115" s="51"/>
      <c r="AH115" s="18"/>
      <c r="AI115" s="18"/>
    </row>
    <row r="116" spans="1:35">
      <c r="A116" s="105"/>
      <c r="B116" s="51"/>
      <c r="C116" s="51"/>
      <c r="D116" s="51"/>
      <c r="E116" s="51"/>
      <c r="F116" s="51"/>
      <c r="G116" s="51"/>
      <c r="H116" s="57"/>
      <c r="I116" s="51"/>
      <c r="J116" s="51"/>
      <c r="K116" s="58"/>
      <c r="L116" s="59"/>
      <c r="M116" s="58"/>
      <c r="N116" s="58"/>
      <c r="O116" s="77"/>
      <c r="P116" s="60"/>
      <c r="Q116" s="37"/>
      <c r="R116" s="104"/>
      <c r="S116" s="70"/>
      <c r="T116" s="70"/>
      <c r="U116" s="71"/>
      <c r="V116" s="73"/>
      <c r="W116" s="75"/>
      <c r="X116" s="64"/>
      <c r="Y116" s="51"/>
      <c r="Z116" s="51"/>
      <c r="AH116" s="18"/>
      <c r="AI116" s="18"/>
    </row>
    <row r="117" spans="1:35">
      <c r="A117" s="51"/>
      <c r="B117" s="51"/>
      <c r="C117" s="51"/>
      <c r="D117" s="51"/>
      <c r="E117" s="51"/>
      <c r="F117" s="55"/>
      <c r="G117" s="56"/>
      <c r="H117" s="57"/>
      <c r="I117" s="51"/>
      <c r="J117" s="51"/>
      <c r="K117" s="58"/>
      <c r="L117" s="59"/>
      <c r="M117" s="58"/>
      <c r="N117" s="58"/>
      <c r="O117" s="51"/>
      <c r="P117" s="51"/>
      <c r="Q117" s="37"/>
      <c r="R117" s="70"/>
      <c r="S117" s="70"/>
      <c r="T117" s="70"/>
      <c r="U117" s="71"/>
      <c r="V117" s="73"/>
      <c r="W117" s="75"/>
      <c r="X117" s="64"/>
      <c r="Y117" s="51"/>
      <c r="Z117" s="51"/>
      <c r="AH117" s="18"/>
      <c r="AI117" s="18"/>
    </row>
    <row r="118" spans="1:35">
      <c r="A118" s="51"/>
      <c r="B118" s="51"/>
      <c r="C118" s="51"/>
      <c r="D118" s="51"/>
      <c r="E118" s="51"/>
      <c r="F118" s="55"/>
      <c r="G118" s="56"/>
      <c r="H118" s="57"/>
      <c r="I118" s="51"/>
      <c r="J118" s="51"/>
      <c r="K118" s="58"/>
      <c r="L118" s="59"/>
      <c r="M118" s="58"/>
      <c r="N118" s="58"/>
      <c r="O118" s="51"/>
      <c r="P118" s="51"/>
      <c r="Q118" s="37"/>
      <c r="R118" s="70"/>
      <c r="S118" s="70"/>
      <c r="T118" s="70"/>
      <c r="U118" s="71"/>
      <c r="V118" s="73"/>
      <c r="W118" s="75"/>
      <c r="X118" s="64"/>
      <c r="Y118" s="51"/>
      <c r="Z118" s="51"/>
      <c r="AH118" s="18"/>
      <c r="AI118" s="18"/>
    </row>
    <row r="119" spans="1:35">
      <c r="A119" s="51"/>
      <c r="B119" s="51"/>
      <c r="C119" s="54"/>
      <c r="D119" s="51"/>
      <c r="E119" s="51"/>
      <c r="F119" s="55"/>
      <c r="G119" s="56"/>
      <c r="H119" s="57"/>
      <c r="I119" s="51"/>
      <c r="J119" s="51"/>
      <c r="K119" s="58"/>
      <c r="L119" s="59"/>
      <c r="M119" s="58"/>
      <c r="N119" s="58"/>
      <c r="O119" s="51"/>
      <c r="P119" s="60"/>
      <c r="Q119" s="37"/>
      <c r="R119" s="70"/>
      <c r="S119" s="70"/>
      <c r="T119" s="70"/>
      <c r="U119" s="71"/>
      <c r="V119" s="73"/>
      <c r="W119" s="75"/>
      <c r="X119" s="64"/>
      <c r="Y119" s="51"/>
      <c r="Z119" s="51"/>
      <c r="AH119" s="18"/>
      <c r="AI119" s="18"/>
    </row>
    <row r="120" spans="1:35">
      <c r="A120" s="51"/>
      <c r="B120" s="51"/>
      <c r="C120" s="51"/>
      <c r="D120" s="51"/>
      <c r="E120" s="51"/>
      <c r="F120" s="55"/>
      <c r="G120" s="56"/>
      <c r="H120" s="57"/>
      <c r="I120" s="51"/>
      <c r="J120" s="51"/>
      <c r="K120" s="58"/>
      <c r="L120" s="59"/>
      <c r="M120" s="58"/>
      <c r="N120" s="58"/>
      <c r="O120" s="77"/>
      <c r="P120" s="60"/>
      <c r="Q120" s="37"/>
      <c r="R120" s="70"/>
      <c r="S120" s="70"/>
      <c r="T120" s="70"/>
      <c r="U120" s="71"/>
      <c r="V120" s="73"/>
      <c r="W120" s="75"/>
      <c r="X120" s="64"/>
      <c r="Y120" s="51"/>
      <c r="Z120" s="51"/>
      <c r="AH120" s="18"/>
      <c r="AI120" s="18"/>
    </row>
    <row r="121" spans="1:35">
      <c r="A121" s="51"/>
      <c r="B121" s="51"/>
      <c r="C121" s="51"/>
      <c r="D121" s="51"/>
      <c r="E121" s="51"/>
      <c r="F121" s="55"/>
      <c r="G121" s="56"/>
      <c r="H121" s="57"/>
      <c r="I121" s="51"/>
      <c r="J121" s="51"/>
      <c r="K121" s="58"/>
      <c r="L121" s="59"/>
      <c r="M121" s="58"/>
      <c r="N121" s="58"/>
      <c r="O121" s="77"/>
      <c r="P121" s="60"/>
      <c r="Q121" s="37"/>
      <c r="R121" s="70"/>
      <c r="S121" s="70"/>
      <c r="T121" s="70"/>
      <c r="U121" s="71"/>
      <c r="V121" s="73"/>
      <c r="W121" s="75"/>
      <c r="X121" s="64"/>
      <c r="Y121" s="51"/>
      <c r="Z121" s="51"/>
      <c r="AH121" s="18"/>
      <c r="AI121" s="18"/>
    </row>
    <row r="122" spans="1:35">
      <c r="A122" s="51"/>
      <c r="B122" s="51"/>
      <c r="C122" s="51"/>
      <c r="D122" s="51"/>
      <c r="E122" s="51"/>
      <c r="F122" s="55"/>
      <c r="G122" s="56"/>
      <c r="H122" s="57"/>
      <c r="I122" s="51"/>
      <c r="J122" s="51"/>
      <c r="K122" s="58"/>
      <c r="L122" s="59"/>
      <c r="M122" s="58"/>
      <c r="N122" s="58"/>
      <c r="O122" s="77"/>
      <c r="P122" s="60"/>
      <c r="Q122" s="37"/>
      <c r="R122" s="70"/>
      <c r="S122" s="70"/>
      <c r="T122" s="70"/>
      <c r="U122" s="71"/>
      <c r="V122" s="73"/>
      <c r="W122" s="75"/>
      <c r="X122" s="64"/>
      <c r="Y122" s="51"/>
      <c r="Z122" s="51"/>
      <c r="AH122" s="18"/>
      <c r="AI122" s="18"/>
    </row>
    <row r="123" spans="1:35">
      <c r="A123" s="51"/>
      <c r="B123" s="51"/>
      <c r="C123" s="51"/>
      <c r="D123" s="51"/>
      <c r="E123" s="51"/>
      <c r="F123" s="55"/>
      <c r="G123" s="56"/>
      <c r="H123" s="57"/>
      <c r="I123" s="51"/>
      <c r="J123" s="51"/>
      <c r="K123" s="58"/>
      <c r="L123" s="59"/>
      <c r="M123" s="58"/>
      <c r="N123" s="58"/>
      <c r="O123" s="77"/>
      <c r="P123" s="60"/>
      <c r="Q123" s="37"/>
      <c r="R123" s="70"/>
      <c r="S123" s="70"/>
      <c r="T123" s="70"/>
      <c r="U123" s="71"/>
      <c r="V123" s="73"/>
      <c r="W123" s="75"/>
      <c r="X123" s="64"/>
      <c r="Y123" s="51"/>
      <c r="Z123" s="51"/>
      <c r="AH123" s="18"/>
      <c r="AI123" s="18"/>
    </row>
    <row r="124" spans="1:35">
      <c r="A124" s="51"/>
      <c r="B124" s="51"/>
      <c r="C124" s="51"/>
      <c r="D124" s="51"/>
      <c r="E124" s="51"/>
      <c r="F124" s="55"/>
      <c r="G124" s="56"/>
      <c r="H124" s="57"/>
      <c r="I124" s="51"/>
      <c r="J124" s="51"/>
      <c r="K124" s="58"/>
      <c r="L124" s="59"/>
      <c r="M124" s="58"/>
      <c r="N124" s="58"/>
      <c r="O124" s="77"/>
      <c r="P124" s="60"/>
      <c r="Q124" s="37"/>
      <c r="R124" s="70"/>
      <c r="S124" s="70"/>
      <c r="T124" s="70"/>
      <c r="U124" s="71"/>
      <c r="V124" s="73"/>
      <c r="W124" s="75"/>
      <c r="X124" s="64"/>
      <c r="Y124" s="51"/>
      <c r="Z124" s="51"/>
      <c r="AH124" s="18"/>
      <c r="AI124" s="18"/>
    </row>
    <row r="125" spans="1:35">
      <c r="A125" s="51"/>
      <c r="B125" s="51"/>
      <c r="C125" s="51"/>
      <c r="D125" s="51"/>
      <c r="E125" s="51"/>
      <c r="F125" s="55"/>
      <c r="G125" s="56"/>
      <c r="H125" s="57"/>
      <c r="I125" s="51"/>
      <c r="J125" s="51"/>
      <c r="K125" s="58"/>
      <c r="L125" s="59"/>
      <c r="M125" s="58"/>
      <c r="N125" s="58"/>
      <c r="O125" s="77"/>
      <c r="P125" s="60"/>
      <c r="Q125" s="37"/>
      <c r="R125" s="70"/>
      <c r="S125" s="70"/>
      <c r="T125" s="70"/>
      <c r="U125" s="71"/>
      <c r="V125" s="73"/>
      <c r="W125" s="75"/>
      <c r="X125" s="64"/>
      <c r="Y125" s="51"/>
      <c r="Z125" s="51"/>
      <c r="AH125" s="18"/>
      <c r="AI125" s="18"/>
    </row>
    <row r="126" spans="1:35">
      <c r="A126" s="51"/>
      <c r="B126" s="51"/>
      <c r="C126" s="51"/>
      <c r="D126" s="51"/>
      <c r="E126" s="51"/>
      <c r="F126" s="55"/>
      <c r="G126" s="56"/>
      <c r="H126" s="57"/>
      <c r="I126" s="51"/>
      <c r="J126" s="51"/>
      <c r="K126" s="58"/>
      <c r="L126" s="59"/>
      <c r="M126" s="58"/>
      <c r="N126" s="58"/>
      <c r="O126" s="77"/>
      <c r="P126" s="60"/>
      <c r="Q126" s="37"/>
      <c r="R126" s="70"/>
      <c r="S126" s="70"/>
      <c r="T126" s="70"/>
      <c r="U126" s="71"/>
      <c r="V126" s="73"/>
      <c r="W126" s="75"/>
      <c r="X126" s="64"/>
      <c r="Y126" s="51"/>
      <c r="Z126" s="51"/>
      <c r="AH126" s="18"/>
      <c r="AI126" s="18"/>
    </row>
    <row r="127" spans="1:35">
      <c r="A127" s="51"/>
      <c r="B127" s="51"/>
      <c r="C127" s="51"/>
      <c r="D127" s="51"/>
      <c r="E127" s="51"/>
      <c r="F127" s="55"/>
      <c r="G127" s="56"/>
      <c r="H127" s="57"/>
      <c r="I127" s="51"/>
      <c r="J127" s="51"/>
      <c r="K127" s="58"/>
      <c r="L127" s="59"/>
      <c r="M127" s="58"/>
      <c r="N127" s="58"/>
      <c r="O127" s="51"/>
      <c r="P127" s="51"/>
      <c r="Q127" s="37"/>
      <c r="R127" s="70"/>
      <c r="S127" s="70"/>
      <c r="T127" s="70"/>
      <c r="U127" s="71"/>
      <c r="V127" s="73"/>
      <c r="W127" s="75"/>
      <c r="X127" s="64"/>
      <c r="Y127" s="51"/>
      <c r="Z127" s="51"/>
      <c r="AH127" s="18"/>
      <c r="AI127" s="18"/>
    </row>
    <row r="128" spans="1:35">
      <c r="A128" s="51"/>
      <c r="B128" s="51"/>
      <c r="C128" s="51"/>
      <c r="D128" s="51"/>
      <c r="E128" s="51"/>
      <c r="F128" s="55"/>
      <c r="G128" s="56"/>
      <c r="H128" s="57"/>
      <c r="I128" s="51"/>
      <c r="J128" s="51"/>
      <c r="K128" s="58"/>
      <c r="L128" s="59"/>
      <c r="M128" s="58"/>
      <c r="N128" s="58"/>
      <c r="O128" s="51"/>
      <c r="P128" s="51"/>
      <c r="Q128" s="37"/>
      <c r="R128" s="70"/>
      <c r="S128" s="70"/>
      <c r="T128" s="70"/>
      <c r="U128" s="71"/>
      <c r="V128" s="73"/>
      <c r="W128" s="75"/>
      <c r="X128" s="64"/>
      <c r="Y128" s="51"/>
      <c r="Z128" s="51"/>
      <c r="AH128" s="18"/>
      <c r="AI128" s="18"/>
    </row>
    <row r="129" spans="1:35">
      <c r="A129" s="51"/>
      <c r="B129" s="51"/>
      <c r="C129" s="51"/>
      <c r="D129" s="51"/>
      <c r="E129" s="51"/>
      <c r="F129" s="55"/>
      <c r="G129" s="56"/>
      <c r="H129" s="57"/>
      <c r="I129" s="51"/>
      <c r="J129" s="51"/>
      <c r="K129" s="58"/>
      <c r="L129" s="59"/>
      <c r="M129" s="58"/>
      <c r="N129" s="58"/>
      <c r="O129" s="51"/>
      <c r="P129" s="51"/>
      <c r="Q129" s="37"/>
      <c r="R129" s="70"/>
      <c r="S129" s="70"/>
      <c r="T129" s="70"/>
      <c r="U129" s="71"/>
      <c r="V129" s="73"/>
      <c r="W129" s="75"/>
      <c r="X129" s="64"/>
      <c r="Y129" s="51"/>
      <c r="Z129" s="51"/>
      <c r="AH129" s="18"/>
      <c r="AI129" s="18"/>
    </row>
    <row r="130" spans="1:35">
      <c r="A130" s="51"/>
      <c r="B130" s="51"/>
      <c r="C130" s="51"/>
      <c r="D130" s="51"/>
      <c r="E130" s="51"/>
      <c r="F130" s="55"/>
      <c r="G130" s="56"/>
      <c r="H130" s="57"/>
      <c r="I130" s="51"/>
      <c r="J130" s="51"/>
      <c r="K130" s="58"/>
      <c r="L130" s="59"/>
      <c r="M130" s="58"/>
      <c r="N130" s="58"/>
      <c r="O130" s="51"/>
      <c r="P130" s="51"/>
      <c r="Q130" s="37"/>
      <c r="R130" s="70"/>
      <c r="S130" s="70"/>
      <c r="T130" s="70"/>
      <c r="U130" s="71"/>
      <c r="V130" s="73"/>
      <c r="W130" s="75"/>
      <c r="X130" s="64"/>
      <c r="Y130" s="51"/>
      <c r="Z130" s="51"/>
      <c r="AH130" s="18"/>
      <c r="AI130" s="18"/>
    </row>
    <row r="131" spans="1:35">
      <c r="A131" s="51"/>
      <c r="B131" s="51"/>
      <c r="C131" s="51"/>
      <c r="D131" s="51"/>
      <c r="E131" s="51"/>
      <c r="F131" s="55"/>
      <c r="G131" s="56"/>
      <c r="H131" s="57"/>
      <c r="I131" s="51"/>
      <c r="J131" s="51"/>
      <c r="K131" s="58"/>
      <c r="L131" s="59"/>
      <c r="M131" s="58"/>
      <c r="N131" s="58"/>
      <c r="O131" s="51"/>
      <c r="P131" s="51"/>
      <c r="Q131" s="37"/>
      <c r="R131" s="70"/>
      <c r="S131" s="70"/>
      <c r="T131" s="70"/>
      <c r="U131" s="71"/>
      <c r="V131" s="73"/>
      <c r="W131" s="75"/>
      <c r="X131" s="64"/>
      <c r="Y131" s="51"/>
      <c r="Z131" s="51"/>
      <c r="AH131" s="18"/>
      <c r="AI131" s="18"/>
    </row>
    <row r="132" spans="1:35">
      <c r="A132" s="51"/>
      <c r="B132" s="51"/>
      <c r="C132" s="51"/>
      <c r="D132" s="51"/>
      <c r="E132" s="51"/>
      <c r="F132" s="55"/>
      <c r="G132" s="56"/>
      <c r="H132" s="57"/>
      <c r="I132" s="51"/>
      <c r="J132" s="51"/>
      <c r="K132" s="58"/>
      <c r="L132" s="59"/>
      <c r="M132" s="58"/>
      <c r="N132" s="58"/>
      <c r="O132" s="51"/>
      <c r="P132" s="51"/>
      <c r="Q132" s="37"/>
      <c r="R132" s="70"/>
      <c r="S132" s="70"/>
      <c r="T132" s="70"/>
      <c r="U132" s="71"/>
      <c r="V132" s="73"/>
      <c r="W132" s="75"/>
      <c r="X132" s="64"/>
      <c r="Y132" s="51"/>
      <c r="Z132" s="51"/>
      <c r="AH132" s="18"/>
      <c r="AI132" s="18"/>
    </row>
    <row r="133" spans="1:35">
      <c r="A133" s="51"/>
      <c r="B133" s="51"/>
      <c r="C133" s="51"/>
      <c r="D133" s="51"/>
      <c r="E133" s="51"/>
      <c r="F133" s="55"/>
      <c r="G133" s="56"/>
      <c r="H133" s="57"/>
      <c r="I133" s="51"/>
      <c r="J133" s="51"/>
      <c r="K133" s="58"/>
      <c r="L133" s="59"/>
      <c r="M133" s="58"/>
      <c r="N133" s="58"/>
      <c r="O133" s="51"/>
      <c r="P133" s="51"/>
      <c r="Q133" s="37"/>
      <c r="R133" s="70"/>
      <c r="S133" s="70"/>
      <c r="T133" s="70"/>
      <c r="U133" s="71"/>
      <c r="V133" s="73"/>
      <c r="W133" s="75"/>
      <c r="X133" s="64"/>
      <c r="Y133" s="51"/>
      <c r="Z133" s="51"/>
      <c r="AH133" s="18"/>
      <c r="AI133" s="18"/>
    </row>
    <row r="134" spans="1:35">
      <c r="A134" s="51"/>
      <c r="B134" s="51"/>
      <c r="C134" s="51"/>
      <c r="D134" s="51"/>
      <c r="E134" s="51"/>
      <c r="F134" s="55"/>
      <c r="G134" s="56"/>
      <c r="H134" s="57"/>
      <c r="I134" s="51"/>
      <c r="J134" s="51"/>
      <c r="K134" s="58"/>
      <c r="L134" s="59"/>
      <c r="M134" s="58"/>
      <c r="N134" s="58"/>
      <c r="O134" s="51"/>
      <c r="P134" s="51"/>
      <c r="Q134" s="37"/>
      <c r="R134" s="70"/>
      <c r="S134" s="70"/>
      <c r="T134" s="70"/>
      <c r="U134" s="71"/>
      <c r="V134" s="73"/>
      <c r="W134" s="75"/>
      <c r="X134" s="64"/>
      <c r="Y134" s="51"/>
      <c r="Z134" s="51"/>
      <c r="AH134" s="18"/>
      <c r="AI134" s="18"/>
    </row>
    <row r="135" spans="1:35">
      <c r="A135" s="51"/>
      <c r="B135" s="51"/>
      <c r="C135" s="51"/>
      <c r="D135" s="51"/>
      <c r="E135" s="51"/>
      <c r="F135" s="55"/>
      <c r="G135" s="56"/>
      <c r="H135" s="57"/>
      <c r="I135" s="51"/>
      <c r="J135" s="51"/>
      <c r="K135" s="58"/>
      <c r="L135" s="59"/>
      <c r="M135" s="58"/>
      <c r="N135" s="58"/>
      <c r="O135" s="51"/>
      <c r="P135" s="51"/>
      <c r="Q135" s="37"/>
      <c r="R135" s="70"/>
      <c r="S135" s="70"/>
      <c r="T135" s="70"/>
      <c r="U135" s="71"/>
      <c r="V135" s="73"/>
      <c r="W135" s="75"/>
      <c r="X135" s="64"/>
      <c r="Y135" s="51"/>
      <c r="Z135" s="51"/>
      <c r="AH135" s="18"/>
      <c r="AI135" s="18"/>
    </row>
    <row r="136" spans="1:35">
      <c r="A136" s="51"/>
      <c r="B136" s="51"/>
      <c r="C136" s="51"/>
      <c r="D136" s="51"/>
      <c r="E136" s="51"/>
      <c r="F136" s="55"/>
      <c r="G136" s="56"/>
      <c r="H136" s="57"/>
      <c r="I136" s="51"/>
      <c r="J136" s="51"/>
      <c r="K136" s="58"/>
      <c r="L136" s="59"/>
      <c r="M136" s="58"/>
      <c r="N136" s="58"/>
      <c r="O136" s="51"/>
      <c r="P136" s="51"/>
      <c r="Q136" s="37"/>
      <c r="R136" s="70"/>
      <c r="S136" s="70"/>
      <c r="T136" s="70"/>
      <c r="U136" s="71"/>
      <c r="V136" s="73"/>
      <c r="W136" s="75"/>
      <c r="X136" s="64"/>
      <c r="Y136" s="51"/>
      <c r="Z136" s="51"/>
      <c r="AH136" s="18"/>
      <c r="AI136" s="18"/>
    </row>
    <row r="137" spans="1:35">
      <c r="A137" s="51"/>
      <c r="B137" s="51"/>
      <c r="C137" s="51"/>
      <c r="D137" s="51"/>
      <c r="E137" s="51"/>
      <c r="F137" s="55"/>
      <c r="G137" s="56"/>
      <c r="H137" s="57"/>
      <c r="I137" s="51"/>
      <c r="J137" s="51"/>
      <c r="K137" s="58"/>
      <c r="L137" s="59"/>
      <c r="M137" s="58"/>
      <c r="N137" s="58"/>
      <c r="O137" s="51"/>
      <c r="P137" s="51"/>
      <c r="Q137" s="37"/>
      <c r="R137" s="70"/>
      <c r="S137" s="70"/>
      <c r="T137" s="70"/>
      <c r="U137" s="71"/>
      <c r="V137" s="73"/>
      <c r="W137" s="75"/>
      <c r="X137" s="64"/>
      <c r="Y137" s="51"/>
      <c r="Z137" s="51"/>
      <c r="AH137" s="18"/>
      <c r="AI137" s="18"/>
    </row>
    <row r="138" spans="1:35">
      <c r="A138" s="51"/>
      <c r="B138" s="51"/>
      <c r="C138" s="51"/>
      <c r="D138" s="51"/>
      <c r="E138" s="51"/>
      <c r="F138" s="55"/>
      <c r="G138" s="56"/>
      <c r="H138" s="57"/>
      <c r="I138" s="51"/>
      <c r="J138" s="51"/>
      <c r="K138" s="58"/>
      <c r="L138" s="59"/>
      <c r="M138" s="58"/>
      <c r="N138" s="58"/>
      <c r="O138" s="51"/>
      <c r="P138" s="51"/>
      <c r="Q138" s="37"/>
      <c r="R138" s="70"/>
      <c r="S138" s="70"/>
      <c r="T138" s="70"/>
      <c r="U138" s="71"/>
      <c r="V138" s="73"/>
      <c r="W138" s="75"/>
      <c r="X138" s="64"/>
      <c r="Y138" s="51"/>
      <c r="Z138" s="51"/>
      <c r="AH138" s="18"/>
      <c r="AI138" s="18"/>
    </row>
    <row r="139" spans="1:35">
      <c r="A139" s="105"/>
      <c r="B139" s="51"/>
      <c r="C139" s="51"/>
      <c r="D139" s="51"/>
      <c r="E139" s="51"/>
      <c r="F139" s="55"/>
      <c r="G139" s="80"/>
      <c r="H139" s="57"/>
      <c r="I139" s="51"/>
      <c r="J139" s="51"/>
      <c r="K139" s="58"/>
      <c r="L139" s="59"/>
      <c r="M139" s="58"/>
      <c r="N139" s="58"/>
      <c r="O139" s="77"/>
      <c r="P139" s="60"/>
      <c r="Q139" s="37"/>
      <c r="R139" s="70"/>
      <c r="S139" s="70"/>
      <c r="T139" s="70"/>
      <c r="U139" s="71"/>
      <c r="V139" s="73"/>
      <c r="W139" s="75"/>
      <c r="X139" s="64"/>
      <c r="Y139" s="51"/>
      <c r="Z139" s="51"/>
      <c r="AH139" s="18"/>
      <c r="AI139" s="18"/>
    </row>
    <row r="140" spans="1:35">
      <c r="A140" s="105"/>
      <c r="B140" s="51"/>
      <c r="C140" s="51"/>
      <c r="D140" s="51"/>
      <c r="E140" s="51"/>
      <c r="F140" s="55"/>
      <c r="G140" s="56"/>
      <c r="H140" s="57"/>
      <c r="I140" s="51"/>
      <c r="J140" s="51"/>
      <c r="K140" s="58"/>
      <c r="L140" s="59"/>
      <c r="M140" s="58"/>
      <c r="N140" s="58"/>
      <c r="O140" s="77"/>
      <c r="P140" s="60"/>
      <c r="Q140" s="37"/>
      <c r="R140" s="70"/>
      <c r="S140" s="70"/>
      <c r="T140" s="70"/>
      <c r="U140" s="71"/>
      <c r="V140" s="73"/>
      <c r="W140" s="75"/>
      <c r="X140" s="64"/>
      <c r="Y140" s="51"/>
      <c r="Z140" s="51"/>
      <c r="AH140" s="18"/>
      <c r="AI140" s="18"/>
    </row>
    <row r="141" spans="1:35">
      <c r="A141" s="105"/>
      <c r="B141" s="51"/>
      <c r="C141" s="51"/>
      <c r="D141" s="51"/>
      <c r="E141" s="51"/>
      <c r="F141" s="55"/>
      <c r="G141" s="56"/>
      <c r="H141" s="57"/>
      <c r="I141" s="51"/>
      <c r="J141" s="51"/>
      <c r="K141" s="58"/>
      <c r="L141" s="59"/>
      <c r="M141" s="58"/>
      <c r="N141" s="58"/>
      <c r="O141" s="77"/>
      <c r="P141" s="60"/>
      <c r="Q141" s="37"/>
      <c r="R141" s="70"/>
      <c r="S141" s="70"/>
      <c r="T141" s="70"/>
      <c r="U141" s="71"/>
      <c r="V141" s="73"/>
      <c r="W141" s="75"/>
      <c r="X141" s="64"/>
      <c r="Y141" s="51"/>
      <c r="Z141" s="51"/>
      <c r="AH141" s="18"/>
      <c r="AI141" s="18"/>
    </row>
    <row r="142" spans="1:35">
      <c r="A142" s="105"/>
      <c r="B142" s="51"/>
      <c r="C142" s="51"/>
      <c r="D142" s="51"/>
      <c r="E142" s="51"/>
      <c r="F142" s="55"/>
      <c r="G142" s="56"/>
      <c r="H142" s="57"/>
      <c r="I142" s="51"/>
      <c r="J142" s="51"/>
      <c r="K142" s="58"/>
      <c r="L142" s="59"/>
      <c r="M142" s="58"/>
      <c r="N142" s="58"/>
      <c r="O142" s="77"/>
      <c r="P142" s="60"/>
      <c r="Q142" s="37"/>
      <c r="R142" s="70"/>
      <c r="S142" s="70"/>
      <c r="T142" s="70"/>
      <c r="U142" s="71"/>
      <c r="V142" s="73"/>
      <c r="W142" s="75"/>
      <c r="X142" s="64"/>
      <c r="Y142" s="51"/>
      <c r="Z142" s="51"/>
      <c r="AH142" s="18"/>
      <c r="AI142" s="18"/>
    </row>
    <row r="143" spans="1:35">
      <c r="A143" s="105"/>
      <c r="B143" s="51"/>
      <c r="C143" s="51"/>
      <c r="D143" s="51"/>
      <c r="E143" s="51"/>
      <c r="F143" s="55"/>
      <c r="G143" s="56"/>
      <c r="H143" s="57"/>
      <c r="I143" s="51"/>
      <c r="J143" s="51"/>
      <c r="K143" s="58"/>
      <c r="L143" s="59"/>
      <c r="M143" s="58"/>
      <c r="N143" s="58"/>
      <c r="O143" s="77"/>
      <c r="P143" s="60"/>
      <c r="Q143" s="37"/>
      <c r="R143" s="70"/>
      <c r="S143" s="70"/>
      <c r="T143" s="70"/>
      <c r="U143" s="71"/>
      <c r="V143" s="73"/>
      <c r="W143" s="75"/>
      <c r="X143" s="64"/>
      <c r="Y143" s="51"/>
      <c r="Z143" s="51"/>
      <c r="AH143" s="18"/>
      <c r="AI143" s="18"/>
    </row>
    <row r="144" spans="1:35">
      <c r="A144" s="105"/>
      <c r="B144" s="51"/>
      <c r="C144" s="51"/>
      <c r="D144" s="51"/>
      <c r="E144" s="51"/>
      <c r="F144" s="55"/>
      <c r="G144" s="56"/>
      <c r="H144" s="57"/>
      <c r="I144" s="51"/>
      <c r="J144" s="51"/>
      <c r="K144" s="58"/>
      <c r="L144" s="59"/>
      <c r="M144" s="58"/>
      <c r="N144" s="58"/>
      <c r="O144" s="77"/>
      <c r="P144" s="60"/>
      <c r="Q144" s="37"/>
      <c r="R144" s="70"/>
      <c r="S144" s="70"/>
      <c r="T144" s="70"/>
      <c r="U144" s="71"/>
      <c r="V144" s="73"/>
      <c r="W144" s="75"/>
      <c r="X144" s="64"/>
      <c r="Y144" s="51"/>
      <c r="Z144" s="51"/>
      <c r="AH144" s="18"/>
      <c r="AI144" s="18"/>
    </row>
    <row r="145" spans="1:35">
      <c r="A145" s="105"/>
      <c r="B145" s="51"/>
      <c r="C145" s="51"/>
      <c r="D145" s="51"/>
      <c r="E145" s="51"/>
      <c r="F145" s="55"/>
      <c r="G145" s="56"/>
      <c r="H145" s="57"/>
      <c r="I145" s="51"/>
      <c r="J145" s="51"/>
      <c r="K145" s="58"/>
      <c r="L145" s="59"/>
      <c r="M145" s="58"/>
      <c r="N145" s="58"/>
      <c r="O145" s="77"/>
      <c r="P145" s="60"/>
      <c r="Q145" s="37"/>
      <c r="R145" s="70"/>
      <c r="S145" s="70"/>
      <c r="T145" s="70"/>
      <c r="U145" s="71"/>
      <c r="V145" s="73"/>
      <c r="W145" s="75"/>
      <c r="X145" s="64"/>
      <c r="Y145" s="51"/>
      <c r="Z145" s="51"/>
      <c r="AH145" s="18"/>
      <c r="AI145" s="18"/>
    </row>
    <row r="146" spans="1:35">
      <c r="A146" s="105"/>
      <c r="B146" s="51"/>
      <c r="C146" s="51"/>
      <c r="D146" s="51"/>
      <c r="E146" s="51"/>
      <c r="F146" s="55"/>
      <c r="G146" s="56"/>
      <c r="H146" s="57"/>
      <c r="I146" s="51"/>
      <c r="J146" s="51"/>
      <c r="K146" s="58"/>
      <c r="L146" s="59"/>
      <c r="M146" s="58"/>
      <c r="N146" s="58"/>
      <c r="O146" s="77"/>
      <c r="P146" s="60"/>
      <c r="Q146" s="37"/>
      <c r="R146" s="70"/>
      <c r="S146" s="70"/>
      <c r="T146" s="70"/>
      <c r="U146" s="71"/>
      <c r="V146" s="73"/>
      <c r="W146" s="75"/>
      <c r="X146" s="64"/>
      <c r="Y146" s="51"/>
      <c r="Z146" s="51"/>
      <c r="AH146" s="18"/>
      <c r="AI146" s="18"/>
    </row>
    <row r="147" spans="1:35">
      <c r="A147" s="105"/>
      <c r="B147" s="51"/>
      <c r="C147" s="51"/>
      <c r="D147" s="51"/>
      <c r="E147" s="51"/>
      <c r="F147" s="55"/>
      <c r="G147" s="56"/>
      <c r="H147" s="57"/>
      <c r="I147" s="51"/>
      <c r="J147" s="51"/>
      <c r="K147" s="58"/>
      <c r="L147" s="59"/>
      <c r="M147" s="58"/>
      <c r="N147" s="58"/>
      <c r="O147" s="77"/>
      <c r="P147" s="60"/>
      <c r="Q147" s="37"/>
      <c r="R147" s="70"/>
      <c r="S147" s="70"/>
      <c r="T147" s="70"/>
      <c r="U147" s="71"/>
      <c r="V147" s="73"/>
      <c r="W147" s="75"/>
      <c r="X147" s="64"/>
      <c r="Y147" s="51"/>
      <c r="Z147" s="51"/>
      <c r="AH147" s="18"/>
      <c r="AI147" s="18"/>
    </row>
    <row r="148" spans="1:35">
      <c r="A148" s="105"/>
      <c r="B148" s="51"/>
      <c r="C148" s="51"/>
      <c r="D148" s="51"/>
      <c r="E148" s="51"/>
      <c r="F148" s="55"/>
      <c r="G148" s="56"/>
      <c r="H148" s="57"/>
      <c r="I148" s="51"/>
      <c r="J148" s="51"/>
      <c r="K148" s="58"/>
      <c r="L148" s="59"/>
      <c r="M148" s="58"/>
      <c r="N148" s="58"/>
      <c r="O148" s="77"/>
      <c r="P148" s="60"/>
      <c r="Q148" s="37"/>
      <c r="R148" s="70"/>
      <c r="S148" s="70"/>
      <c r="T148" s="70"/>
      <c r="U148" s="71"/>
      <c r="V148" s="73"/>
      <c r="W148" s="75"/>
      <c r="X148" s="64"/>
      <c r="Y148" s="51"/>
      <c r="Z148" s="51"/>
      <c r="AH148" s="18"/>
      <c r="AI148" s="18"/>
    </row>
    <row r="149" spans="1:35">
      <c r="A149" s="105"/>
      <c r="B149" s="51"/>
      <c r="C149" s="51"/>
      <c r="D149" s="51"/>
      <c r="E149" s="51"/>
      <c r="F149" s="51"/>
      <c r="G149" s="51"/>
      <c r="H149" s="37"/>
      <c r="I149" s="51"/>
      <c r="J149" s="51"/>
      <c r="K149" s="58"/>
      <c r="L149" s="59"/>
      <c r="M149" s="58"/>
      <c r="N149" s="58"/>
      <c r="O149" s="77"/>
      <c r="P149" s="60"/>
      <c r="Q149" s="37"/>
      <c r="R149" s="70"/>
      <c r="S149" s="70"/>
      <c r="T149" s="70"/>
      <c r="U149" s="71"/>
      <c r="V149" s="73"/>
      <c r="W149" s="75"/>
      <c r="X149" s="64"/>
      <c r="Y149" s="51"/>
      <c r="Z149" s="51"/>
      <c r="AH149" s="18"/>
      <c r="AI149" s="18"/>
    </row>
    <row r="150" spans="1:35">
      <c r="A150" s="51"/>
      <c r="B150" s="51"/>
      <c r="C150" s="51"/>
      <c r="D150" s="51"/>
      <c r="E150" s="51"/>
      <c r="F150" s="55"/>
      <c r="G150" s="56"/>
      <c r="H150" s="57"/>
      <c r="I150" s="51"/>
      <c r="J150" s="51"/>
      <c r="K150" s="58"/>
      <c r="L150" s="59"/>
      <c r="M150" s="58"/>
      <c r="N150" s="58"/>
      <c r="O150" s="51"/>
      <c r="P150" s="51"/>
      <c r="Q150" s="37"/>
      <c r="R150" s="70"/>
      <c r="S150" s="70"/>
      <c r="T150" s="70"/>
      <c r="U150" s="71"/>
      <c r="V150" s="73"/>
      <c r="W150" s="75"/>
      <c r="X150" s="64"/>
      <c r="Y150" s="51"/>
      <c r="Z150" s="51"/>
      <c r="AH150" s="18"/>
      <c r="AI150" s="18"/>
    </row>
    <row r="151" spans="1:35">
      <c r="A151" s="51"/>
      <c r="B151" s="51"/>
      <c r="C151" s="51"/>
      <c r="D151" s="51"/>
      <c r="E151" s="51"/>
      <c r="F151" s="55"/>
      <c r="G151" s="56"/>
      <c r="H151" s="57"/>
      <c r="I151" s="51"/>
      <c r="J151" s="51"/>
      <c r="K151" s="58"/>
      <c r="L151" s="59"/>
      <c r="M151" s="58"/>
      <c r="N151" s="58"/>
      <c r="O151" s="51"/>
      <c r="P151" s="51"/>
      <c r="Q151" s="37"/>
      <c r="R151" s="70"/>
      <c r="S151" s="70"/>
      <c r="T151" s="70"/>
      <c r="U151" s="71"/>
      <c r="V151" s="73"/>
      <c r="W151" s="75"/>
      <c r="X151" s="64"/>
      <c r="Y151" s="51"/>
      <c r="Z151" s="51"/>
      <c r="AH151" s="18"/>
      <c r="AI151" s="18"/>
    </row>
    <row r="152" spans="1:35">
      <c r="A152" s="51"/>
      <c r="B152" s="51"/>
      <c r="C152" s="51"/>
      <c r="D152" s="51"/>
      <c r="E152" s="51"/>
      <c r="F152" s="55"/>
      <c r="G152" s="56"/>
      <c r="H152" s="57"/>
      <c r="I152" s="51"/>
      <c r="J152" s="51"/>
      <c r="K152" s="58"/>
      <c r="L152" s="59"/>
      <c r="M152" s="58"/>
      <c r="N152" s="58"/>
      <c r="O152" s="51"/>
      <c r="P152" s="51"/>
      <c r="Q152" s="37"/>
      <c r="R152" s="70"/>
      <c r="S152" s="70"/>
      <c r="T152" s="70"/>
      <c r="U152" s="71"/>
      <c r="V152" s="73"/>
      <c r="W152" s="75"/>
      <c r="X152" s="64"/>
      <c r="Y152" s="51"/>
      <c r="Z152" s="51"/>
      <c r="AH152" s="18"/>
      <c r="AI152" s="18"/>
    </row>
    <row r="153" spans="1:35">
      <c r="A153" s="51"/>
      <c r="B153" s="51"/>
      <c r="C153" s="51"/>
      <c r="D153" s="51"/>
      <c r="E153" s="51"/>
      <c r="F153" s="55"/>
      <c r="G153" s="56"/>
      <c r="H153" s="57"/>
      <c r="I153" s="51"/>
      <c r="J153" s="51"/>
      <c r="K153" s="58"/>
      <c r="L153" s="59"/>
      <c r="M153" s="58"/>
      <c r="N153" s="58"/>
      <c r="O153" s="51"/>
      <c r="P153" s="51"/>
      <c r="Q153" s="37"/>
      <c r="R153" s="70"/>
      <c r="S153" s="70"/>
      <c r="T153" s="70"/>
      <c r="U153" s="71"/>
      <c r="V153" s="73"/>
      <c r="W153" s="75"/>
      <c r="X153" s="64"/>
      <c r="Y153" s="51"/>
      <c r="Z153" s="51"/>
      <c r="AH153" s="18"/>
      <c r="AI153" s="18"/>
    </row>
    <row r="154" spans="1:35">
      <c r="A154" s="51"/>
      <c r="B154" s="54"/>
      <c r="C154" s="51"/>
      <c r="D154" s="54"/>
      <c r="E154" s="51"/>
      <c r="F154" s="55"/>
      <c r="G154" s="56"/>
      <c r="H154" s="57"/>
      <c r="I154" s="51"/>
      <c r="J154" s="51"/>
      <c r="K154" s="58"/>
      <c r="L154" s="59"/>
      <c r="M154" s="58"/>
      <c r="N154" s="58"/>
      <c r="O154" s="51"/>
      <c r="P154" s="51"/>
      <c r="Q154" s="37"/>
      <c r="R154" s="70"/>
      <c r="S154" s="70"/>
      <c r="T154" s="70"/>
      <c r="U154" s="71"/>
      <c r="V154" s="73"/>
      <c r="W154" s="75"/>
      <c r="X154" s="64"/>
      <c r="Y154" s="51"/>
      <c r="Z154" s="51"/>
      <c r="AH154" s="18"/>
      <c r="AI154" s="18"/>
    </row>
    <row r="155" spans="1:35">
      <c r="A155" s="110"/>
      <c r="B155" s="54"/>
      <c r="C155" s="51"/>
      <c r="D155" s="54"/>
      <c r="E155" s="111"/>
      <c r="F155" s="111"/>
      <c r="G155" s="110"/>
      <c r="H155" s="111"/>
      <c r="I155" s="111"/>
      <c r="J155" s="111"/>
      <c r="K155" s="58"/>
      <c r="L155" s="111"/>
      <c r="M155" s="58"/>
      <c r="N155" s="58"/>
      <c r="O155" s="77"/>
      <c r="P155" s="112"/>
      <c r="Q155" s="37"/>
      <c r="R155" s="113"/>
      <c r="S155" s="113"/>
      <c r="T155" s="113"/>
      <c r="U155" s="114"/>
      <c r="V155" s="115"/>
      <c r="W155" s="116"/>
      <c r="X155" s="117"/>
      <c r="Y155" s="111"/>
      <c r="Z155" s="111"/>
      <c r="AH155" s="18"/>
      <c r="AI155" s="18"/>
    </row>
    <row r="156" spans="1:35">
      <c r="A156" s="51"/>
      <c r="B156" s="51"/>
      <c r="C156" s="51"/>
      <c r="D156" s="51"/>
      <c r="E156" s="51"/>
      <c r="F156" s="55"/>
      <c r="G156" s="56"/>
      <c r="H156" s="57"/>
      <c r="I156" s="51"/>
      <c r="J156" s="51"/>
      <c r="K156" s="58"/>
      <c r="L156" s="59"/>
      <c r="M156" s="58"/>
      <c r="N156" s="58"/>
      <c r="O156" s="51"/>
      <c r="P156" s="51"/>
      <c r="Q156" s="37"/>
      <c r="R156" s="70"/>
      <c r="S156" s="70"/>
      <c r="T156" s="70"/>
      <c r="U156" s="71"/>
      <c r="V156" s="73"/>
      <c r="W156" s="75"/>
      <c r="X156" s="64"/>
      <c r="Y156" s="51"/>
      <c r="Z156" s="51"/>
      <c r="AH156" s="18"/>
      <c r="AI156" s="18"/>
    </row>
    <row r="157" spans="1:35">
      <c r="A157" s="51"/>
      <c r="B157" s="51"/>
      <c r="C157" s="51"/>
      <c r="D157" s="51"/>
      <c r="E157" s="51"/>
      <c r="F157" s="55"/>
      <c r="G157" s="56"/>
      <c r="H157" s="57"/>
      <c r="I157" s="51"/>
      <c r="J157" s="51"/>
      <c r="K157" s="58"/>
      <c r="L157" s="59"/>
      <c r="M157" s="58"/>
      <c r="N157" s="58"/>
      <c r="O157" s="51"/>
      <c r="P157" s="51"/>
      <c r="Q157" s="37"/>
      <c r="R157" s="70"/>
      <c r="S157" s="70"/>
      <c r="T157" s="70"/>
      <c r="U157" s="71"/>
      <c r="V157" s="73"/>
      <c r="W157" s="75"/>
      <c r="X157" s="64"/>
      <c r="Y157" s="51"/>
      <c r="Z157" s="51"/>
      <c r="AH157" s="18"/>
      <c r="AI157" s="18"/>
    </row>
    <row r="158" spans="1:35">
      <c r="A158" s="51"/>
      <c r="B158" s="51"/>
      <c r="C158" s="51"/>
      <c r="D158" s="51"/>
      <c r="E158" s="51"/>
      <c r="F158" s="55"/>
      <c r="G158" s="56"/>
      <c r="H158" s="57"/>
      <c r="I158" s="51"/>
      <c r="J158" s="51"/>
      <c r="K158" s="58"/>
      <c r="L158" s="59"/>
      <c r="M158" s="58"/>
      <c r="N158" s="58"/>
      <c r="O158" s="51"/>
      <c r="P158" s="51"/>
      <c r="Q158" s="37"/>
      <c r="R158" s="70"/>
      <c r="S158" s="70"/>
      <c r="T158" s="70"/>
      <c r="U158" s="71"/>
      <c r="V158" s="73"/>
      <c r="W158" s="75"/>
      <c r="X158" s="64"/>
      <c r="Y158" s="51"/>
      <c r="Z158" s="51"/>
      <c r="AH158" s="18"/>
      <c r="AI158" s="18"/>
    </row>
    <row r="159" spans="1:35">
      <c r="A159" s="51"/>
      <c r="B159" s="51"/>
      <c r="C159" s="51"/>
      <c r="D159" s="51"/>
      <c r="E159" s="51"/>
      <c r="F159" s="55"/>
      <c r="G159" s="56"/>
      <c r="H159" s="57"/>
      <c r="I159" s="51"/>
      <c r="J159" s="51"/>
      <c r="K159" s="58"/>
      <c r="L159" s="59"/>
      <c r="M159" s="58"/>
      <c r="N159" s="58"/>
      <c r="O159" s="51"/>
      <c r="P159" s="51"/>
      <c r="Q159" s="37"/>
      <c r="R159" s="70"/>
      <c r="S159" s="70"/>
      <c r="T159" s="70"/>
      <c r="U159" s="71"/>
      <c r="V159" s="73"/>
      <c r="W159" s="75"/>
      <c r="X159" s="64"/>
      <c r="Y159" s="51"/>
      <c r="Z159" s="51"/>
      <c r="AH159" s="18"/>
      <c r="AI159" s="18"/>
    </row>
    <row r="160" spans="1:35">
      <c r="A160" s="51"/>
      <c r="B160" s="51"/>
      <c r="C160" s="51"/>
      <c r="D160" s="51"/>
      <c r="E160" s="51"/>
      <c r="F160" s="55"/>
      <c r="G160" s="56"/>
      <c r="H160" s="57"/>
      <c r="I160" s="51"/>
      <c r="J160" s="51"/>
      <c r="K160" s="58"/>
      <c r="L160" s="59"/>
      <c r="M160" s="58"/>
      <c r="N160" s="58"/>
      <c r="O160" s="51"/>
      <c r="P160" s="51"/>
      <c r="Q160" s="37"/>
      <c r="R160" s="70"/>
      <c r="S160" s="70"/>
      <c r="T160" s="70"/>
      <c r="U160" s="71"/>
      <c r="V160" s="73"/>
      <c r="W160" s="75"/>
      <c r="X160" s="64"/>
      <c r="Y160" s="51"/>
      <c r="Z160" s="51"/>
      <c r="AH160" s="18"/>
      <c r="AI160" s="18"/>
    </row>
    <row r="161" spans="1:35">
      <c r="A161" s="51"/>
      <c r="B161" s="51"/>
      <c r="C161" s="51"/>
      <c r="D161" s="51"/>
      <c r="E161" s="51"/>
      <c r="F161" s="55"/>
      <c r="G161" s="56"/>
      <c r="H161" s="57"/>
      <c r="I161" s="51"/>
      <c r="J161" s="51"/>
      <c r="K161" s="58"/>
      <c r="L161" s="59"/>
      <c r="M161" s="58"/>
      <c r="N161" s="58"/>
      <c r="O161" s="51"/>
      <c r="P161" s="51"/>
      <c r="Q161" s="37"/>
      <c r="R161" s="70"/>
      <c r="S161" s="70"/>
      <c r="T161" s="70"/>
      <c r="U161" s="71"/>
      <c r="V161" s="73"/>
      <c r="W161" s="75"/>
      <c r="X161" s="64"/>
      <c r="Y161" s="51"/>
      <c r="Z161" s="51"/>
      <c r="AH161" s="18"/>
      <c r="AI161" s="18"/>
    </row>
    <row r="162" spans="1:35">
      <c r="A162" s="51"/>
      <c r="B162" s="51"/>
      <c r="C162" s="51"/>
      <c r="D162" s="51"/>
      <c r="E162" s="51"/>
      <c r="F162" s="55"/>
      <c r="G162" s="56"/>
      <c r="H162" s="57"/>
      <c r="I162" s="51"/>
      <c r="J162" s="51"/>
      <c r="K162" s="58"/>
      <c r="L162" s="59"/>
      <c r="M162" s="58"/>
      <c r="N162" s="58"/>
      <c r="O162" s="51"/>
      <c r="P162" s="51"/>
      <c r="Q162" s="37"/>
      <c r="R162" s="70"/>
      <c r="S162" s="70"/>
      <c r="T162" s="70"/>
      <c r="U162" s="71"/>
      <c r="V162" s="73"/>
      <c r="W162" s="75"/>
      <c r="X162" s="64"/>
      <c r="Y162" s="51"/>
      <c r="Z162" s="51"/>
      <c r="AH162" s="18"/>
      <c r="AI162" s="18"/>
    </row>
    <row r="163" spans="1:35">
      <c r="A163" s="51"/>
      <c r="B163" s="51"/>
      <c r="C163" s="51"/>
      <c r="D163" s="51"/>
      <c r="E163" s="51"/>
      <c r="F163" s="55"/>
      <c r="G163" s="56"/>
      <c r="H163" s="57"/>
      <c r="I163" s="51"/>
      <c r="J163" s="51"/>
      <c r="K163" s="58"/>
      <c r="L163" s="59"/>
      <c r="M163" s="58"/>
      <c r="N163" s="58"/>
      <c r="O163" s="51"/>
      <c r="P163" s="51"/>
      <c r="Q163" s="37"/>
      <c r="R163" s="70"/>
      <c r="S163" s="70"/>
      <c r="T163" s="70"/>
      <c r="U163" s="71"/>
      <c r="V163" s="73"/>
      <c r="W163" s="75"/>
      <c r="X163" s="64"/>
      <c r="Y163" s="51"/>
      <c r="Z163" s="51"/>
      <c r="AH163" s="18"/>
      <c r="AI163" s="18"/>
    </row>
    <row r="164" spans="1:35">
      <c r="A164" s="51"/>
      <c r="B164" s="51"/>
      <c r="C164" s="51"/>
      <c r="D164" s="51"/>
      <c r="E164" s="51"/>
      <c r="F164" s="55"/>
      <c r="G164" s="56"/>
      <c r="H164" s="57"/>
      <c r="I164" s="51"/>
      <c r="J164" s="51"/>
      <c r="K164" s="58"/>
      <c r="L164" s="59"/>
      <c r="M164" s="58"/>
      <c r="N164" s="58"/>
      <c r="O164" s="51"/>
      <c r="P164" s="51"/>
      <c r="Q164" s="37"/>
      <c r="R164" s="70"/>
      <c r="S164" s="70"/>
      <c r="T164" s="70"/>
      <c r="U164" s="71"/>
      <c r="V164" s="73"/>
      <c r="W164" s="75"/>
      <c r="X164" s="64"/>
      <c r="Y164" s="51"/>
      <c r="Z164" s="51"/>
      <c r="AH164" s="18"/>
      <c r="AI164" s="18"/>
    </row>
    <row r="165" spans="1:35">
      <c r="A165" s="51"/>
      <c r="B165" s="51"/>
      <c r="C165" s="51"/>
      <c r="D165" s="51"/>
      <c r="E165" s="51"/>
      <c r="F165" s="55"/>
      <c r="G165" s="56"/>
      <c r="H165" s="57"/>
      <c r="I165" s="51"/>
      <c r="J165" s="51"/>
      <c r="K165" s="58"/>
      <c r="L165" s="59"/>
      <c r="M165" s="58"/>
      <c r="N165" s="58"/>
      <c r="O165" s="51"/>
      <c r="P165" s="51"/>
      <c r="Q165" s="37"/>
      <c r="R165" s="70"/>
      <c r="S165" s="70"/>
      <c r="T165" s="70"/>
      <c r="U165" s="71"/>
      <c r="V165" s="73"/>
      <c r="W165" s="75"/>
      <c r="X165" s="64"/>
      <c r="Y165" s="51"/>
      <c r="Z165" s="51"/>
      <c r="AH165" s="18"/>
      <c r="AI165" s="18"/>
    </row>
    <row r="166" spans="1:35">
      <c r="A166" s="51"/>
      <c r="B166" s="51"/>
      <c r="C166" s="51"/>
      <c r="D166" s="51"/>
      <c r="E166" s="51"/>
      <c r="F166" s="55"/>
      <c r="G166" s="56"/>
      <c r="H166" s="57"/>
      <c r="I166" s="51"/>
      <c r="J166" s="51"/>
      <c r="K166" s="58"/>
      <c r="L166" s="59"/>
      <c r="M166" s="58"/>
      <c r="N166" s="58"/>
      <c r="O166" s="51"/>
      <c r="P166" s="51"/>
      <c r="Q166" s="37"/>
      <c r="R166" s="70"/>
      <c r="S166" s="70"/>
      <c r="T166" s="70"/>
      <c r="U166" s="71"/>
      <c r="V166" s="73"/>
      <c r="W166" s="75"/>
      <c r="X166" s="117"/>
      <c r="Y166" s="111"/>
      <c r="Z166" s="111"/>
      <c r="AH166" s="18"/>
      <c r="AI166" s="18"/>
    </row>
    <row r="167" spans="1:35">
      <c r="A167" s="54"/>
      <c r="B167" s="54"/>
      <c r="C167" s="51"/>
      <c r="D167" s="51"/>
      <c r="E167" s="51"/>
      <c r="F167" s="55"/>
      <c r="G167" s="56"/>
      <c r="H167" s="57"/>
      <c r="I167" s="51"/>
      <c r="J167" s="51"/>
      <c r="K167" s="58"/>
      <c r="L167" s="59"/>
      <c r="M167" s="58"/>
      <c r="N167" s="58"/>
      <c r="O167" s="51"/>
      <c r="P167" s="99"/>
      <c r="Q167" s="37"/>
      <c r="R167" s="51"/>
      <c r="S167" s="51"/>
      <c r="T167" s="51"/>
      <c r="U167" s="51"/>
      <c r="V167" s="51"/>
      <c r="W167" s="51"/>
      <c r="X167" s="64"/>
      <c r="Y167" s="51"/>
      <c r="Z167" s="51"/>
      <c r="AA167" s="51"/>
      <c r="AB167" s="51"/>
      <c r="AC167" s="94"/>
      <c r="AD167" s="94"/>
      <c r="AE167" s="94"/>
      <c r="AF167" s="94"/>
      <c r="AG167" s="94"/>
      <c r="AH167" s="18"/>
      <c r="AI167" s="18"/>
    </row>
    <row r="168" spans="1:35">
      <c r="A168" s="54"/>
      <c r="B168" s="54"/>
      <c r="C168" s="51"/>
      <c r="D168" s="51"/>
      <c r="E168" s="51"/>
      <c r="F168" s="56"/>
      <c r="G168" s="54"/>
      <c r="H168" s="86"/>
      <c r="I168" s="51"/>
      <c r="J168" s="51"/>
      <c r="K168" s="58"/>
      <c r="L168" s="59"/>
      <c r="M168" s="58"/>
      <c r="N168" s="58"/>
      <c r="O168" s="77"/>
      <c r="P168" s="81"/>
      <c r="Q168" s="37"/>
      <c r="R168" s="74"/>
      <c r="S168" s="74"/>
      <c r="T168" s="74"/>
      <c r="U168" s="71"/>
      <c r="V168" s="73"/>
      <c r="W168" s="75"/>
      <c r="X168" s="64"/>
      <c r="Y168" s="51"/>
      <c r="Z168" s="51"/>
      <c r="AA168" s="82"/>
      <c r="AB168" s="82"/>
      <c r="AC168" s="82"/>
      <c r="AD168" s="82"/>
      <c r="AE168" s="82"/>
      <c r="AF168" s="82"/>
      <c r="AG168" s="82"/>
      <c r="AH168" s="18"/>
      <c r="AI168" s="18"/>
    </row>
    <row r="169" spans="1:35">
      <c r="A169" s="54"/>
      <c r="B169" s="54"/>
      <c r="C169" s="51"/>
      <c r="D169" s="51"/>
      <c r="E169" s="51"/>
      <c r="F169" s="56"/>
      <c r="G169" s="54"/>
      <c r="H169" s="86"/>
      <c r="I169" s="51"/>
      <c r="J169" s="51"/>
      <c r="K169" s="58"/>
      <c r="L169" s="59"/>
      <c r="M169" s="58"/>
      <c r="N169" s="58"/>
      <c r="O169" s="77"/>
      <c r="P169" s="81"/>
      <c r="Q169" s="37"/>
      <c r="R169" s="74"/>
      <c r="S169" s="74"/>
      <c r="T169" s="74"/>
      <c r="U169" s="71"/>
      <c r="V169" s="73"/>
      <c r="W169" s="75"/>
      <c r="X169" s="64"/>
      <c r="Y169" s="51"/>
      <c r="Z169" s="51"/>
      <c r="AA169" s="82"/>
      <c r="AB169" s="82"/>
      <c r="AC169" s="82"/>
      <c r="AD169" s="82"/>
      <c r="AE169" s="82"/>
      <c r="AF169" s="82"/>
      <c r="AG169" s="82"/>
      <c r="AH169" s="18"/>
      <c r="AI169" s="18"/>
    </row>
    <row r="170" spans="1:35">
      <c r="A170" s="54"/>
      <c r="B170" s="54"/>
      <c r="C170" s="51"/>
      <c r="D170" s="51"/>
      <c r="E170" s="51"/>
      <c r="F170" s="56"/>
      <c r="G170" s="54"/>
      <c r="H170" s="86"/>
      <c r="I170" s="51"/>
      <c r="J170" s="51"/>
      <c r="K170" s="58"/>
      <c r="L170" s="59"/>
      <c r="M170" s="58"/>
      <c r="N170" s="58"/>
      <c r="O170" s="77"/>
      <c r="P170" s="81"/>
      <c r="Q170" s="37"/>
      <c r="R170" s="74"/>
      <c r="S170" s="74"/>
      <c r="T170" s="74"/>
      <c r="U170" s="71"/>
      <c r="V170" s="73"/>
      <c r="W170" s="75"/>
      <c r="X170" s="78"/>
      <c r="Y170" s="54"/>
      <c r="Z170" s="54"/>
      <c r="AA170" s="82"/>
      <c r="AB170" s="82"/>
      <c r="AC170" s="82"/>
      <c r="AD170" s="82"/>
      <c r="AE170" s="82"/>
      <c r="AF170" s="82"/>
      <c r="AG170" s="82"/>
      <c r="AH170" s="18"/>
      <c r="AI170" s="18"/>
    </row>
    <row r="171" spans="1:35">
      <c r="A171" s="54"/>
      <c r="B171" s="54"/>
      <c r="C171" s="51"/>
      <c r="D171" s="51"/>
      <c r="E171" s="51"/>
      <c r="F171" s="56"/>
      <c r="G171" s="54"/>
      <c r="H171" s="86"/>
      <c r="I171" s="51"/>
      <c r="J171" s="51"/>
      <c r="K171" s="58"/>
      <c r="L171" s="59"/>
      <c r="M171" s="58"/>
      <c r="N171" s="58"/>
      <c r="O171" s="77"/>
      <c r="P171" s="81"/>
      <c r="Q171" s="37"/>
      <c r="R171" s="74"/>
      <c r="S171" s="74"/>
      <c r="T171" s="74"/>
      <c r="U171" s="71"/>
      <c r="V171" s="73"/>
      <c r="W171" s="75"/>
      <c r="X171" s="64"/>
      <c r="Y171" s="51"/>
      <c r="Z171" s="51"/>
      <c r="AA171" s="82"/>
      <c r="AB171" s="82"/>
      <c r="AC171" s="82"/>
      <c r="AD171" s="82"/>
      <c r="AE171" s="82"/>
      <c r="AF171" s="82"/>
      <c r="AG171" s="82"/>
      <c r="AH171" s="18"/>
      <c r="AI171" s="18"/>
    </row>
    <row r="172" spans="1:35">
      <c r="A172" s="54"/>
      <c r="B172" s="54"/>
      <c r="C172" s="51"/>
      <c r="D172" s="51"/>
      <c r="E172" s="51"/>
      <c r="F172" s="56"/>
      <c r="G172" s="54"/>
      <c r="H172" s="86"/>
      <c r="I172" s="51"/>
      <c r="J172" s="51"/>
      <c r="K172" s="58"/>
      <c r="L172" s="59"/>
      <c r="M172" s="58"/>
      <c r="N172" s="58"/>
      <c r="O172" s="77"/>
      <c r="P172" s="81"/>
      <c r="Q172" s="37"/>
      <c r="R172" s="74"/>
      <c r="S172" s="74"/>
      <c r="T172" s="74"/>
      <c r="U172" s="71"/>
      <c r="V172" s="73"/>
      <c r="W172" s="75"/>
      <c r="X172" s="64"/>
      <c r="Y172" s="51"/>
      <c r="Z172" s="51"/>
      <c r="AA172" s="82"/>
      <c r="AB172" s="82"/>
      <c r="AC172" s="82"/>
      <c r="AD172" s="82"/>
      <c r="AE172" s="82"/>
      <c r="AF172" s="82"/>
      <c r="AG172" s="82"/>
      <c r="AH172" s="18"/>
      <c r="AI172" s="18"/>
    </row>
    <row r="173" spans="1:35">
      <c r="A173" s="54"/>
      <c r="B173" s="54"/>
      <c r="C173" s="51"/>
      <c r="D173" s="51"/>
      <c r="E173" s="51"/>
      <c r="F173" s="56"/>
      <c r="G173" s="54"/>
      <c r="H173" s="86"/>
      <c r="I173" s="51"/>
      <c r="J173" s="51"/>
      <c r="K173" s="58"/>
      <c r="L173" s="59"/>
      <c r="M173" s="58"/>
      <c r="N173" s="58"/>
      <c r="O173" s="77"/>
      <c r="P173" s="81"/>
      <c r="Q173" s="37"/>
      <c r="R173" s="74"/>
      <c r="S173" s="74"/>
      <c r="T173" s="74"/>
      <c r="U173" s="71"/>
      <c r="V173" s="73"/>
      <c r="W173" s="75"/>
      <c r="X173" s="64"/>
      <c r="Y173" s="51"/>
      <c r="Z173" s="51"/>
      <c r="AA173" s="82"/>
      <c r="AB173" s="82"/>
      <c r="AC173" s="82"/>
      <c r="AD173" s="82"/>
      <c r="AE173" s="82"/>
      <c r="AF173" s="82"/>
      <c r="AG173" s="82"/>
      <c r="AH173" s="18"/>
      <c r="AI173" s="18"/>
    </row>
    <row r="174" spans="1:35">
      <c r="A174" s="54"/>
      <c r="B174" s="54"/>
      <c r="C174" s="51"/>
      <c r="D174" s="51"/>
      <c r="E174" s="51"/>
      <c r="F174" s="56"/>
      <c r="G174" s="54"/>
      <c r="H174" s="86"/>
      <c r="I174" s="51"/>
      <c r="J174" s="51"/>
      <c r="K174" s="58"/>
      <c r="L174" s="59"/>
      <c r="M174" s="58"/>
      <c r="N174" s="58"/>
      <c r="O174" s="77"/>
      <c r="P174" s="81"/>
      <c r="Q174" s="37"/>
      <c r="R174" s="74"/>
      <c r="S174" s="74"/>
      <c r="T174" s="74"/>
      <c r="U174" s="71"/>
      <c r="V174" s="73"/>
      <c r="W174" s="75"/>
      <c r="X174" s="64"/>
      <c r="Y174" s="51"/>
      <c r="Z174" s="51"/>
      <c r="AA174" s="82"/>
      <c r="AB174" s="82"/>
      <c r="AC174" s="82"/>
      <c r="AD174" s="82"/>
      <c r="AE174" s="82"/>
      <c r="AF174" s="82"/>
      <c r="AG174" s="82"/>
      <c r="AH174" s="18"/>
      <c r="AI174" s="18"/>
    </row>
    <row r="175" spans="1:35">
      <c r="A175" s="51"/>
      <c r="B175" s="51"/>
      <c r="C175" s="51"/>
      <c r="D175" s="51"/>
      <c r="E175" s="51"/>
      <c r="F175" s="55"/>
      <c r="G175" s="56"/>
      <c r="H175" s="57"/>
      <c r="I175" s="51"/>
      <c r="J175" s="51"/>
      <c r="K175" s="58"/>
      <c r="L175" s="59"/>
      <c r="M175" s="58"/>
      <c r="N175" s="58"/>
      <c r="O175" s="51"/>
      <c r="P175" s="51"/>
      <c r="Q175" s="37"/>
      <c r="R175" s="70"/>
      <c r="S175" s="70"/>
      <c r="T175" s="70"/>
      <c r="U175" s="71"/>
      <c r="V175" s="73"/>
      <c r="W175" s="75"/>
      <c r="X175" s="117"/>
      <c r="Y175" s="111"/>
      <c r="Z175" s="111"/>
      <c r="AH175" s="18"/>
      <c r="AI175" s="18"/>
    </row>
    <row r="176" spans="1:35">
      <c r="A176" s="51"/>
      <c r="B176" s="51"/>
      <c r="C176" s="51"/>
      <c r="D176" s="51"/>
      <c r="E176" s="51"/>
      <c r="F176" s="55"/>
      <c r="G176" s="56"/>
      <c r="H176" s="57"/>
      <c r="I176" s="51"/>
      <c r="J176" s="51"/>
      <c r="K176" s="58"/>
      <c r="L176" s="59"/>
      <c r="M176" s="58"/>
      <c r="N176" s="58"/>
      <c r="O176" s="51"/>
      <c r="P176" s="51"/>
      <c r="Q176" s="37"/>
      <c r="R176" s="70"/>
      <c r="S176" s="70"/>
      <c r="T176" s="70"/>
      <c r="U176" s="71"/>
      <c r="V176" s="73"/>
      <c r="W176" s="75"/>
      <c r="X176" s="117"/>
      <c r="Y176" s="111"/>
      <c r="Z176" s="111"/>
      <c r="AH176" s="18"/>
      <c r="AI176" s="18"/>
    </row>
    <row r="177" spans="1:35">
      <c r="A177" s="51"/>
      <c r="B177" s="54"/>
      <c r="C177" s="51"/>
      <c r="D177" s="54"/>
      <c r="E177" s="51"/>
      <c r="F177" s="55"/>
      <c r="G177" s="56"/>
      <c r="H177" s="57"/>
      <c r="I177" s="51"/>
      <c r="J177" s="51"/>
      <c r="K177" s="58"/>
      <c r="L177" s="59"/>
      <c r="M177" s="58"/>
      <c r="N177" s="58"/>
      <c r="O177" s="51"/>
      <c r="P177" s="100"/>
      <c r="Q177" s="37"/>
      <c r="R177" s="70"/>
      <c r="S177" s="70"/>
      <c r="T177" s="70"/>
      <c r="U177" s="71"/>
      <c r="V177" s="73"/>
      <c r="W177" s="75"/>
      <c r="X177" s="117"/>
      <c r="Y177" s="111"/>
      <c r="Z177" s="111"/>
      <c r="AH177" s="18"/>
      <c r="AI177" s="18"/>
    </row>
    <row r="178" spans="1:35">
      <c r="A178" s="118"/>
      <c r="B178" s="54"/>
      <c r="C178" s="51"/>
      <c r="D178" s="54"/>
      <c r="E178" s="111"/>
      <c r="F178" s="111"/>
      <c r="G178" s="110"/>
      <c r="H178" s="111"/>
      <c r="I178" s="111"/>
      <c r="J178" s="111"/>
      <c r="K178" s="58"/>
      <c r="L178" s="111"/>
      <c r="M178" s="58"/>
      <c r="N178" s="58"/>
      <c r="O178" s="77"/>
      <c r="P178" s="112"/>
      <c r="Q178" s="37"/>
      <c r="R178" s="113"/>
      <c r="S178" s="113"/>
      <c r="T178" s="113"/>
      <c r="U178" s="114"/>
      <c r="V178" s="115"/>
      <c r="W178" s="116"/>
      <c r="X178" s="117"/>
      <c r="Y178" s="111"/>
      <c r="Z178" s="111"/>
      <c r="AH178" s="18"/>
      <c r="AI178" s="18"/>
    </row>
    <row r="179" spans="1:35">
      <c r="A179" s="118"/>
      <c r="B179" s="54"/>
      <c r="C179" s="51"/>
      <c r="D179" s="54"/>
      <c r="E179" s="111"/>
      <c r="F179" s="111"/>
      <c r="G179" s="110"/>
      <c r="H179" s="110"/>
      <c r="I179" s="111"/>
      <c r="J179" s="111"/>
      <c r="K179" s="58"/>
      <c r="L179" s="111"/>
      <c r="M179" s="58"/>
      <c r="N179" s="58"/>
      <c r="O179" s="77"/>
      <c r="P179" s="112"/>
      <c r="Q179" s="37"/>
      <c r="R179" s="113"/>
      <c r="S179" s="113"/>
      <c r="T179" s="113"/>
      <c r="U179" s="114"/>
      <c r="V179" s="115"/>
      <c r="W179" s="116"/>
      <c r="X179" s="117"/>
      <c r="Y179" s="111"/>
      <c r="Z179" s="111"/>
      <c r="AH179" s="18"/>
      <c r="AI179" s="18"/>
    </row>
    <row r="180" spans="1:35">
      <c r="A180" s="118"/>
      <c r="B180" s="54"/>
      <c r="C180" s="51"/>
      <c r="D180" s="54"/>
      <c r="E180" s="111"/>
      <c r="F180" s="111"/>
      <c r="G180" s="110"/>
      <c r="H180" s="111"/>
      <c r="I180" s="111"/>
      <c r="J180" s="111"/>
      <c r="K180" s="58"/>
      <c r="L180" s="111"/>
      <c r="M180" s="58"/>
      <c r="N180" s="58"/>
      <c r="O180" s="77"/>
      <c r="P180" s="112"/>
      <c r="Q180" s="37"/>
      <c r="R180" s="113"/>
      <c r="S180" s="113"/>
      <c r="T180" s="113"/>
      <c r="U180" s="114"/>
      <c r="V180" s="115"/>
      <c r="W180" s="116"/>
      <c r="X180" s="117"/>
      <c r="Y180" s="111"/>
      <c r="Z180" s="111"/>
      <c r="AH180" s="18"/>
      <c r="AI180" s="18"/>
    </row>
    <row r="181" spans="1:35">
      <c r="A181" s="118"/>
      <c r="B181" s="54"/>
      <c r="C181" s="51"/>
      <c r="D181" s="54"/>
      <c r="E181" s="111"/>
      <c r="F181" s="111"/>
      <c r="G181" s="110"/>
      <c r="H181" s="111"/>
      <c r="I181" s="111"/>
      <c r="J181" s="111"/>
      <c r="K181" s="58"/>
      <c r="L181" s="111"/>
      <c r="M181" s="58"/>
      <c r="N181" s="58"/>
      <c r="O181" s="77"/>
      <c r="P181" s="112"/>
      <c r="Q181" s="37"/>
      <c r="R181" s="113"/>
      <c r="S181" s="113"/>
      <c r="T181" s="113"/>
      <c r="U181" s="114"/>
      <c r="V181" s="115"/>
      <c r="W181" s="116"/>
      <c r="X181" s="117"/>
      <c r="Y181" s="111"/>
      <c r="Z181" s="111"/>
      <c r="AH181" s="18"/>
      <c r="AI181" s="18"/>
    </row>
    <row r="182" spans="1:35">
      <c r="A182" s="118"/>
      <c r="B182" s="120"/>
      <c r="C182" s="51"/>
      <c r="D182" s="120"/>
      <c r="E182" s="111"/>
      <c r="F182" s="111"/>
      <c r="G182" s="110"/>
      <c r="H182" s="111"/>
      <c r="I182" s="111"/>
      <c r="J182" s="111"/>
      <c r="K182" s="58"/>
      <c r="L182" s="111"/>
      <c r="M182" s="58"/>
      <c r="N182" s="58"/>
      <c r="O182" s="77"/>
      <c r="P182" s="112"/>
      <c r="Q182" s="37"/>
      <c r="R182" s="113"/>
      <c r="S182" s="113"/>
      <c r="T182" s="113"/>
      <c r="U182" s="114"/>
      <c r="V182" s="115"/>
      <c r="W182" s="116"/>
      <c r="X182" s="117"/>
      <c r="Y182" s="111"/>
      <c r="Z182" s="111"/>
      <c r="AH182" s="18"/>
      <c r="AI182" s="18"/>
    </row>
    <row r="183" spans="1:35">
      <c r="A183" s="118"/>
      <c r="B183" s="120"/>
      <c r="C183" s="51"/>
      <c r="D183" s="120"/>
      <c r="E183" s="111"/>
      <c r="F183" s="111"/>
      <c r="G183" s="110"/>
      <c r="H183" s="110"/>
      <c r="I183" s="111"/>
      <c r="J183" s="111"/>
      <c r="K183" s="58"/>
      <c r="L183" s="111"/>
      <c r="M183" s="58"/>
      <c r="N183" s="58"/>
      <c r="O183" s="77"/>
      <c r="P183" s="112"/>
      <c r="Q183" s="37"/>
      <c r="R183" s="113"/>
      <c r="S183" s="113"/>
      <c r="T183" s="113"/>
      <c r="U183" s="114"/>
      <c r="V183" s="115"/>
      <c r="W183" s="116"/>
      <c r="X183" s="117"/>
      <c r="Y183" s="111"/>
      <c r="Z183" s="111"/>
      <c r="AH183" s="18"/>
      <c r="AI183" s="18"/>
    </row>
    <row r="184" spans="1:35">
      <c r="A184" s="118"/>
      <c r="B184" s="120"/>
      <c r="C184" s="51"/>
      <c r="D184" s="120"/>
      <c r="E184" s="111"/>
      <c r="F184" s="111"/>
      <c r="G184" s="110"/>
      <c r="H184" s="111"/>
      <c r="I184" s="111"/>
      <c r="J184" s="111"/>
      <c r="K184" s="58"/>
      <c r="L184" s="111"/>
      <c r="M184" s="58"/>
      <c r="N184" s="58"/>
      <c r="O184" s="77"/>
      <c r="P184" s="112"/>
      <c r="Q184" s="37"/>
      <c r="R184" s="113"/>
      <c r="S184" s="113"/>
      <c r="T184" s="113"/>
      <c r="U184" s="114"/>
      <c r="V184" s="115"/>
      <c r="W184" s="116"/>
      <c r="X184" s="117"/>
      <c r="Y184" s="111"/>
      <c r="Z184" s="111"/>
      <c r="AH184" s="18"/>
      <c r="AI184" s="18"/>
    </row>
    <row r="185" spans="1:35">
      <c r="A185" s="118"/>
      <c r="B185" s="120"/>
      <c r="C185" s="51"/>
      <c r="D185" s="120"/>
      <c r="E185" s="111"/>
      <c r="F185" s="111"/>
      <c r="G185" s="110"/>
      <c r="H185" s="110"/>
      <c r="I185" s="111"/>
      <c r="J185" s="111"/>
      <c r="K185" s="58"/>
      <c r="L185" s="111"/>
      <c r="M185" s="58"/>
      <c r="N185" s="58"/>
      <c r="O185" s="77"/>
      <c r="P185" s="112"/>
      <c r="Q185" s="37"/>
      <c r="R185" s="113"/>
      <c r="S185" s="113"/>
      <c r="T185" s="113"/>
      <c r="U185" s="114"/>
      <c r="V185" s="115"/>
      <c r="W185" s="116"/>
      <c r="X185" s="117"/>
      <c r="Y185" s="111"/>
      <c r="Z185" s="111"/>
      <c r="AH185" s="18"/>
      <c r="AI185" s="18"/>
    </row>
    <row r="186" spans="1:35">
      <c r="A186" s="118"/>
      <c r="B186" s="120"/>
      <c r="C186" s="51"/>
      <c r="D186" s="120"/>
      <c r="E186" s="111"/>
      <c r="F186" s="111"/>
      <c r="G186" s="110"/>
      <c r="H186" s="111"/>
      <c r="I186" s="111"/>
      <c r="J186" s="111"/>
      <c r="K186" s="58"/>
      <c r="L186" s="111"/>
      <c r="M186" s="58"/>
      <c r="N186" s="58"/>
      <c r="O186" s="77"/>
      <c r="P186" s="112"/>
      <c r="Q186" s="37"/>
      <c r="R186" s="113"/>
      <c r="S186" s="113"/>
      <c r="T186" s="113"/>
      <c r="U186" s="114"/>
      <c r="V186" s="115"/>
      <c r="W186" s="116"/>
      <c r="X186" s="117"/>
      <c r="Y186" s="111"/>
      <c r="Z186" s="111"/>
      <c r="AH186" s="18"/>
      <c r="AI186" s="18"/>
    </row>
    <row r="187" spans="1:35">
      <c r="A187" s="118"/>
      <c r="B187" s="120"/>
      <c r="C187" s="51"/>
      <c r="D187" s="120"/>
      <c r="E187" s="111"/>
      <c r="F187" s="111"/>
      <c r="G187" s="110"/>
      <c r="H187" s="111"/>
      <c r="I187" s="111"/>
      <c r="J187" s="111"/>
      <c r="K187" s="58"/>
      <c r="L187" s="111"/>
      <c r="M187" s="58"/>
      <c r="N187" s="58"/>
      <c r="O187" s="77"/>
      <c r="P187" s="112"/>
      <c r="Q187" s="37"/>
      <c r="R187" s="113"/>
      <c r="S187" s="113"/>
      <c r="T187" s="113"/>
      <c r="U187" s="114"/>
      <c r="V187" s="115"/>
      <c r="W187" s="116"/>
      <c r="X187" s="117"/>
      <c r="Y187" s="111"/>
      <c r="Z187" s="111"/>
      <c r="AH187" s="18"/>
      <c r="AI187" s="18"/>
    </row>
    <row r="188" spans="1:35">
      <c r="A188" s="51"/>
      <c r="B188" s="51"/>
      <c r="C188" s="51"/>
      <c r="D188" s="51"/>
      <c r="E188" s="51"/>
      <c r="F188" s="55"/>
      <c r="G188" s="56"/>
      <c r="H188" s="57"/>
      <c r="I188" s="51"/>
      <c r="J188" s="51"/>
      <c r="K188" s="58"/>
      <c r="L188" s="59"/>
      <c r="M188" s="58"/>
      <c r="N188" s="58"/>
      <c r="O188" s="51"/>
      <c r="P188" s="51"/>
      <c r="Q188" s="37"/>
      <c r="R188" s="70"/>
      <c r="S188" s="70"/>
      <c r="T188" s="70"/>
      <c r="U188" s="71"/>
      <c r="V188" s="73"/>
      <c r="W188" s="75"/>
      <c r="X188" s="117"/>
      <c r="Y188" s="111"/>
      <c r="Z188" s="111"/>
      <c r="AH188" s="18"/>
      <c r="AI188" s="18"/>
    </row>
    <row r="189" spans="1:35">
      <c r="A189" s="51"/>
      <c r="B189" s="51"/>
      <c r="C189" s="51"/>
      <c r="D189" s="51"/>
      <c r="E189" s="51"/>
      <c r="F189" s="55"/>
      <c r="G189" s="56"/>
      <c r="H189" s="57"/>
      <c r="I189" s="51"/>
      <c r="J189" s="51"/>
      <c r="K189" s="58"/>
      <c r="L189" s="59"/>
      <c r="M189" s="58"/>
      <c r="N189" s="58"/>
      <c r="O189" s="51"/>
      <c r="P189" s="51"/>
      <c r="Q189" s="37"/>
      <c r="R189" s="70"/>
      <c r="S189" s="70"/>
      <c r="T189" s="70"/>
      <c r="U189" s="71"/>
      <c r="V189" s="73"/>
      <c r="W189" s="75"/>
      <c r="X189" s="117"/>
      <c r="Y189" s="111"/>
      <c r="Z189" s="111"/>
      <c r="AH189" s="18"/>
      <c r="AI189" s="18"/>
    </row>
    <row r="190" spans="1:35">
      <c r="A190" s="51"/>
      <c r="B190" s="51"/>
      <c r="C190" s="51"/>
      <c r="D190" s="51"/>
      <c r="E190" s="51"/>
      <c r="F190" s="55"/>
      <c r="G190" s="56"/>
      <c r="H190" s="57"/>
      <c r="I190" s="51"/>
      <c r="J190" s="51"/>
      <c r="K190" s="58"/>
      <c r="L190" s="59"/>
      <c r="M190" s="58"/>
      <c r="N190" s="58"/>
      <c r="O190" s="51"/>
      <c r="P190" s="51"/>
      <c r="Q190" s="37"/>
      <c r="R190" s="70"/>
      <c r="S190" s="70"/>
      <c r="T190" s="70"/>
      <c r="U190" s="71"/>
      <c r="V190" s="73"/>
      <c r="W190" s="75"/>
      <c r="X190" s="117"/>
      <c r="Y190" s="111"/>
      <c r="Z190" s="111"/>
      <c r="AH190" s="18"/>
      <c r="AI190" s="18"/>
    </row>
    <row r="191" spans="1:35">
      <c r="A191" s="51"/>
      <c r="B191" s="51"/>
      <c r="C191" s="51"/>
      <c r="D191" s="51"/>
      <c r="E191" s="51"/>
      <c r="F191" s="55"/>
      <c r="G191" s="56"/>
      <c r="H191" s="57"/>
      <c r="I191" s="51"/>
      <c r="J191" s="51"/>
      <c r="K191" s="58"/>
      <c r="L191" s="59"/>
      <c r="M191" s="58"/>
      <c r="N191" s="58"/>
      <c r="O191" s="51"/>
      <c r="P191" s="51"/>
      <c r="Q191" s="37"/>
      <c r="R191" s="70"/>
      <c r="S191" s="70"/>
      <c r="T191" s="70"/>
      <c r="U191" s="71"/>
      <c r="V191" s="73"/>
      <c r="W191" s="75"/>
      <c r="X191" s="117"/>
      <c r="Y191" s="111"/>
      <c r="Z191" s="111"/>
      <c r="AH191" s="18"/>
      <c r="AI191" s="18"/>
    </row>
    <row r="192" spans="1:35">
      <c r="A192" s="51"/>
      <c r="B192" s="51"/>
      <c r="C192" s="51"/>
      <c r="D192" s="51"/>
      <c r="E192" s="51"/>
      <c r="F192" s="55"/>
      <c r="G192" s="56"/>
      <c r="H192" s="57"/>
      <c r="I192" s="51"/>
      <c r="J192" s="51"/>
      <c r="K192" s="58"/>
      <c r="L192" s="59"/>
      <c r="M192" s="58"/>
      <c r="N192" s="58"/>
      <c r="O192" s="51"/>
      <c r="P192" s="51"/>
      <c r="Q192" s="37"/>
      <c r="R192" s="70"/>
      <c r="S192" s="70"/>
      <c r="T192" s="70"/>
      <c r="U192" s="71"/>
      <c r="V192" s="73"/>
      <c r="W192" s="75"/>
      <c r="X192" s="117"/>
      <c r="Y192" s="111"/>
      <c r="Z192" s="111"/>
      <c r="AH192" s="18"/>
      <c r="AI192" s="18"/>
    </row>
    <row r="193" spans="1:35">
      <c r="A193" s="51"/>
      <c r="B193" s="51"/>
      <c r="C193" s="51"/>
      <c r="D193" s="51"/>
      <c r="E193" s="51"/>
      <c r="F193" s="55"/>
      <c r="G193" s="56"/>
      <c r="H193" s="57"/>
      <c r="I193" s="51"/>
      <c r="J193" s="51"/>
      <c r="K193" s="58"/>
      <c r="L193" s="59"/>
      <c r="M193" s="58"/>
      <c r="N193" s="58"/>
      <c r="O193" s="51"/>
      <c r="P193" s="51"/>
      <c r="Q193" s="37"/>
      <c r="R193" s="70"/>
      <c r="S193" s="70"/>
      <c r="T193" s="70"/>
      <c r="U193" s="71"/>
      <c r="V193" s="73"/>
      <c r="W193" s="75"/>
      <c r="X193" s="117"/>
      <c r="Y193" s="111"/>
      <c r="Z193" s="111"/>
      <c r="AH193" s="18"/>
      <c r="AI193" s="18"/>
    </row>
    <row r="194" spans="1:35">
      <c r="A194" s="51"/>
      <c r="B194" s="51"/>
      <c r="C194" s="51"/>
      <c r="D194" s="51"/>
      <c r="E194" s="51"/>
      <c r="F194" s="55"/>
      <c r="G194" s="56"/>
      <c r="H194" s="57"/>
      <c r="I194" s="51"/>
      <c r="J194" s="51"/>
      <c r="K194" s="58"/>
      <c r="L194" s="59"/>
      <c r="M194" s="58"/>
      <c r="N194" s="58"/>
      <c r="O194" s="51"/>
      <c r="P194" s="51"/>
      <c r="Q194" s="37"/>
      <c r="R194" s="70"/>
      <c r="S194" s="70"/>
      <c r="T194" s="70"/>
      <c r="U194" s="71"/>
      <c r="V194" s="73"/>
      <c r="W194" s="75"/>
      <c r="X194" s="117"/>
      <c r="Y194" s="111"/>
      <c r="Z194" s="111"/>
      <c r="AH194" s="18"/>
      <c r="AI194" s="18"/>
    </row>
    <row r="195" spans="1:35" ht="20.25" customHeight="1">
      <c r="A195" s="51"/>
      <c r="B195" s="54"/>
      <c r="C195" s="51"/>
      <c r="D195" s="54"/>
      <c r="E195" s="51"/>
      <c r="F195" s="55"/>
      <c r="G195" s="80"/>
      <c r="H195" s="76"/>
      <c r="I195" s="51"/>
      <c r="J195" s="51"/>
      <c r="K195" s="58"/>
      <c r="L195" s="59"/>
      <c r="M195" s="58"/>
      <c r="N195" s="58"/>
      <c r="O195" s="51"/>
      <c r="P195" s="51"/>
      <c r="Q195" s="37"/>
      <c r="R195" s="70"/>
      <c r="S195" s="70"/>
      <c r="T195" s="70"/>
      <c r="U195" s="71"/>
      <c r="V195" s="73"/>
      <c r="W195" s="75"/>
      <c r="X195" s="121"/>
      <c r="Y195" s="110"/>
      <c r="Z195" s="110"/>
      <c r="AH195" s="18"/>
      <c r="AI195" s="18"/>
    </row>
    <row r="196" spans="1:35">
      <c r="A196" s="51"/>
      <c r="B196" s="54"/>
      <c r="C196" s="51"/>
      <c r="D196" s="54"/>
      <c r="E196" s="51"/>
      <c r="F196" s="55"/>
      <c r="G196" s="56"/>
      <c r="H196" s="57"/>
      <c r="I196" s="51"/>
      <c r="J196" s="51"/>
      <c r="K196" s="58"/>
      <c r="L196" s="59"/>
      <c r="M196" s="58"/>
      <c r="N196" s="58"/>
      <c r="O196" s="51"/>
      <c r="P196" s="51"/>
      <c r="Q196" s="37"/>
      <c r="R196" s="74"/>
      <c r="S196" s="74"/>
      <c r="T196" s="74"/>
      <c r="U196" s="71"/>
      <c r="V196" s="73"/>
      <c r="W196" s="102"/>
      <c r="X196" s="117"/>
      <c r="Y196" s="111"/>
      <c r="Z196" s="111"/>
      <c r="AH196" s="18"/>
      <c r="AI196" s="18"/>
    </row>
    <row r="197" spans="1:35">
      <c r="A197" s="54"/>
      <c r="B197" s="54"/>
      <c r="C197" s="51"/>
      <c r="D197" s="54"/>
      <c r="E197" s="51"/>
      <c r="F197" s="56"/>
      <c r="G197" s="54"/>
      <c r="H197" s="86"/>
      <c r="I197" s="51"/>
      <c r="J197" s="51"/>
      <c r="K197" s="58"/>
      <c r="L197" s="59"/>
      <c r="M197" s="58"/>
      <c r="N197" s="58"/>
      <c r="O197" s="77"/>
      <c r="P197" s="112"/>
      <c r="Q197" s="37"/>
      <c r="R197" s="74"/>
      <c r="S197" s="74"/>
      <c r="T197" s="74"/>
      <c r="U197" s="114"/>
      <c r="V197" s="115"/>
      <c r="W197" s="116"/>
      <c r="X197" s="117"/>
      <c r="Y197" s="111"/>
      <c r="Z197" s="111"/>
      <c r="AH197" s="18"/>
      <c r="AI197" s="18"/>
    </row>
    <row r="198" spans="1:35">
      <c r="A198" s="54"/>
      <c r="B198" s="54"/>
      <c r="C198" s="51"/>
      <c r="D198" s="54"/>
      <c r="E198" s="51"/>
      <c r="F198" s="56"/>
      <c r="G198" s="54"/>
      <c r="H198" s="86"/>
      <c r="I198" s="51"/>
      <c r="J198" s="51"/>
      <c r="K198" s="58"/>
      <c r="L198" s="59"/>
      <c r="M198" s="58"/>
      <c r="N198" s="58"/>
      <c r="O198" s="77"/>
      <c r="P198" s="112"/>
      <c r="Q198" s="37"/>
      <c r="R198" s="74"/>
      <c r="S198" s="74"/>
      <c r="T198" s="74"/>
      <c r="U198" s="114"/>
      <c r="V198" s="115"/>
      <c r="W198" s="116"/>
      <c r="X198" s="117"/>
      <c r="Y198" s="111"/>
      <c r="Z198" s="111"/>
      <c r="AH198" s="18"/>
      <c r="AI198" s="18"/>
    </row>
    <row r="199" spans="1:35">
      <c r="A199" s="54"/>
      <c r="B199" s="54"/>
      <c r="C199" s="51"/>
      <c r="D199" s="54"/>
      <c r="E199" s="51"/>
      <c r="F199" s="56"/>
      <c r="G199" s="54"/>
      <c r="H199" s="86"/>
      <c r="I199" s="51"/>
      <c r="J199" s="51"/>
      <c r="K199" s="58"/>
      <c r="L199" s="59"/>
      <c r="M199" s="58"/>
      <c r="N199" s="58"/>
      <c r="O199" s="77"/>
      <c r="P199" s="112"/>
      <c r="Q199" s="37"/>
      <c r="R199" s="74"/>
      <c r="S199" s="74"/>
      <c r="T199" s="74"/>
      <c r="U199" s="114"/>
      <c r="V199" s="115"/>
      <c r="W199" s="116"/>
      <c r="X199" s="117"/>
      <c r="Y199" s="111"/>
      <c r="Z199" s="111"/>
      <c r="AH199" s="18"/>
      <c r="AI199" s="18"/>
    </row>
    <row r="200" spans="1:35">
      <c r="A200" s="54"/>
      <c r="B200" s="54"/>
      <c r="C200" s="51"/>
      <c r="D200" s="54"/>
      <c r="E200" s="51"/>
      <c r="F200" s="56"/>
      <c r="G200" s="54"/>
      <c r="H200" s="86"/>
      <c r="I200" s="51"/>
      <c r="J200" s="51"/>
      <c r="K200" s="58"/>
      <c r="L200" s="59"/>
      <c r="M200" s="58"/>
      <c r="N200" s="58"/>
      <c r="O200" s="77"/>
      <c r="P200" s="112"/>
      <c r="Q200" s="37"/>
      <c r="R200" s="74"/>
      <c r="S200" s="74"/>
      <c r="T200" s="74"/>
      <c r="U200" s="114"/>
      <c r="V200" s="115"/>
      <c r="W200" s="116"/>
      <c r="X200" s="117"/>
      <c r="Y200" s="111"/>
      <c r="Z200" s="111"/>
      <c r="AH200" s="18"/>
      <c r="AI200" s="18"/>
    </row>
    <row r="201" spans="1:35">
      <c r="A201" s="54"/>
      <c r="B201" s="54"/>
      <c r="C201" s="51"/>
      <c r="D201" s="54"/>
      <c r="E201" s="51"/>
      <c r="F201" s="56"/>
      <c r="G201" s="54"/>
      <c r="H201" s="86"/>
      <c r="I201" s="51"/>
      <c r="J201" s="51"/>
      <c r="K201" s="58"/>
      <c r="L201" s="59"/>
      <c r="M201" s="58"/>
      <c r="N201" s="58"/>
      <c r="O201" s="77"/>
      <c r="P201" s="112"/>
      <c r="Q201" s="37"/>
      <c r="R201" s="74"/>
      <c r="S201" s="74"/>
      <c r="T201" s="74"/>
      <c r="U201" s="114"/>
      <c r="V201" s="115"/>
      <c r="W201" s="116"/>
      <c r="X201" s="117"/>
      <c r="Y201" s="111"/>
      <c r="Z201" s="111"/>
      <c r="AH201" s="18"/>
      <c r="AI201" s="18"/>
    </row>
    <row r="202" spans="1:35">
      <c r="A202" s="54"/>
      <c r="B202" s="54"/>
      <c r="C202" s="51"/>
      <c r="D202" s="54"/>
      <c r="E202" s="51"/>
      <c r="F202" s="56"/>
      <c r="G202" s="54"/>
      <c r="H202" s="86"/>
      <c r="I202" s="51"/>
      <c r="J202" s="51"/>
      <c r="K202" s="58"/>
      <c r="L202" s="59"/>
      <c r="M202" s="58"/>
      <c r="N202" s="58"/>
      <c r="O202" s="77"/>
      <c r="P202" s="112"/>
      <c r="Q202" s="37"/>
      <c r="R202" s="74"/>
      <c r="S202" s="74"/>
      <c r="T202" s="74"/>
      <c r="U202" s="114"/>
      <c r="V202" s="115"/>
      <c r="W202" s="116"/>
      <c r="X202" s="117"/>
      <c r="Y202" s="111"/>
      <c r="Z202" s="111"/>
      <c r="AH202" s="18"/>
      <c r="AI202" s="18"/>
    </row>
    <row r="203" spans="1:35">
      <c r="A203" s="54"/>
      <c r="B203" s="54"/>
      <c r="C203" s="51"/>
      <c r="D203" s="54"/>
      <c r="E203" s="51"/>
      <c r="F203" s="56"/>
      <c r="G203" s="54"/>
      <c r="H203" s="86"/>
      <c r="I203" s="51"/>
      <c r="J203" s="51"/>
      <c r="K203" s="58"/>
      <c r="L203" s="59"/>
      <c r="M203" s="58"/>
      <c r="N203" s="58"/>
      <c r="O203" s="77"/>
      <c r="P203" s="112"/>
      <c r="Q203" s="37"/>
      <c r="R203" s="74"/>
      <c r="S203" s="74"/>
      <c r="T203" s="74"/>
      <c r="U203" s="114"/>
      <c r="V203" s="115"/>
      <c r="W203" s="116"/>
      <c r="X203" s="117"/>
      <c r="Y203" s="111"/>
      <c r="Z203" s="111"/>
      <c r="AH203" s="18"/>
      <c r="AI203" s="18"/>
    </row>
    <row r="204" spans="1:35">
      <c r="A204" s="54"/>
      <c r="B204" s="54"/>
      <c r="C204" s="51"/>
      <c r="D204" s="54"/>
      <c r="E204" s="51"/>
      <c r="F204" s="56"/>
      <c r="G204" s="54"/>
      <c r="H204" s="86"/>
      <c r="I204" s="51"/>
      <c r="J204" s="51"/>
      <c r="K204" s="58"/>
      <c r="L204" s="59"/>
      <c r="M204" s="58"/>
      <c r="N204" s="58"/>
      <c r="O204" s="77"/>
      <c r="P204" s="112"/>
      <c r="Q204" s="37"/>
      <c r="R204" s="74"/>
      <c r="S204" s="74"/>
      <c r="T204" s="74"/>
      <c r="U204" s="114"/>
      <c r="V204" s="115"/>
      <c r="W204" s="116"/>
      <c r="X204" s="117"/>
      <c r="Y204" s="111"/>
      <c r="Z204" s="111"/>
      <c r="AH204" s="18"/>
      <c r="AI204" s="18"/>
    </row>
    <row r="205" spans="1:35">
      <c r="A205" s="54"/>
      <c r="B205" s="54"/>
      <c r="C205" s="51"/>
      <c r="D205" s="54"/>
      <c r="E205" s="51"/>
      <c r="F205" s="56"/>
      <c r="G205" s="54"/>
      <c r="H205" s="86"/>
      <c r="I205" s="51"/>
      <c r="J205" s="51"/>
      <c r="K205" s="58"/>
      <c r="L205" s="59"/>
      <c r="M205" s="58"/>
      <c r="N205" s="58"/>
      <c r="O205" s="77"/>
      <c r="P205" s="112"/>
      <c r="Q205" s="37"/>
      <c r="R205" s="74"/>
      <c r="S205" s="74"/>
      <c r="T205" s="74"/>
      <c r="U205" s="114"/>
      <c r="V205" s="115"/>
      <c r="W205" s="116"/>
      <c r="X205" s="117"/>
      <c r="Y205" s="111"/>
      <c r="Z205" s="111"/>
      <c r="AH205" s="18"/>
      <c r="AI205" s="18"/>
    </row>
    <row r="206" spans="1:35">
      <c r="A206" s="54"/>
      <c r="B206" s="54"/>
      <c r="C206" s="51"/>
      <c r="D206" s="54"/>
      <c r="E206" s="51"/>
      <c r="F206" s="56"/>
      <c r="G206" s="54"/>
      <c r="H206" s="86"/>
      <c r="I206" s="51"/>
      <c r="J206" s="51"/>
      <c r="K206" s="58"/>
      <c r="L206" s="59"/>
      <c r="M206" s="58"/>
      <c r="N206" s="58"/>
      <c r="O206" s="77"/>
      <c r="P206" s="112"/>
      <c r="Q206" s="37"/>
      <c r="R206" s="74"/>
      <c r="S206" s="74"/>
      <c r="T206" s="74"/>
      <c r="U206" s="114"/>
      <c r="V206" s="115"/>
      <c r="W206" s="116"/>
      <c r="X206" s="117"/>
      <c r="Y206" s="111"/>
      <c r="Z206" s="111"/>
      <c r="AH206" s="18"/>
      <c r="AI206" s="18"/>
    </row>
    <row r="207" spans="1:35">
      <c r="A207" s="54"/>
      <c r="B207" s="54"/>
      <c r="C207" s="51"/>
      <c r="D207" s="54"/>
      <c r="E207" s="51"/>
      <c r="F207" s="56"/>
      <c r="G207" s="54"/>
      <c r="H207" s="37"/>
      <c r="I207" s="51"/>
      <c r="J207" s="51"/>
      <c r="K207" s="58"/>
      <c r="L207" s="59"/>
      <c r="M207" s="58"/>
      <c r="N207" s="58"/>
      <c r="O207" s="77"/>
      <c r="P207" s="112"/>
      <c r="Q207" s="37"/>
      <c r="R207" s="74"/>
      <c r="S207" s="74"/>
      <c r="T207" s="74"/>
      <c r="U207" s="114"/>
      <c r="V207" s="115"/>
      <c r="W207" s="116"/>
      <c r="X207" s="117"/>
      <c r="Y207" s="111"/>
      <c r="Z207" s="111"/>
      <c r="AH207" s="18"/>
      <c r="AI207" s="18"/>
    </row>
    <row r="208" spans="1:35">
      <c r="A208" s="54"/>
      <c r="B208" s="54"/>
      <c r="C208" s="51"/>
      <c r="D208" s="54"/>
      <c r="E208" s="51"/>
      <c r="F208" s="56"/>
      <c r="G208" s="54"/>
      <c r="H208" s="37"/>
      <c r="I208" s="51"/>
      <c r="J208" s="51"/>
      <c r="K208" s="58"/>
      <c r="L208" s="59"/>
      <c r="M208" s="58"/>
      <c r="N208" s="58"/>
      <c r="O208" s="77"/>
      <c r="P208" s="112"/>
      <c r="Q208" s="37"/>
      <c r="R208" s="74"/>
      <c r="S208" s="74"/>
      <c r="T208" s="74"/>
      <c r="U208" s="114"/>
      <c r="V208" s="115"/>
      <c r="W208" s="116"/>
      <c r="X208" s="117"/>
      <c r="Y208" s="111"/>
      <c r="Z208" s="111"/>
      <c r="AH208" s="18"/>
      <c r="AI208" s="18"/>
    </row>
    <row r="209" spans="1:35">
      <c r="A209" s="54"/>
      <c r="B209" s="54"/>
      <c r="C209" s="51"/>
      <c r="D209" s="54"/>
      <c r="E209" s="51"/>
      <c r="F209" s="56"/>
      <c r="G209" s="54"/>
      <c r="H209" s="37"/>
      <c r="I209" s="51"/>
      <c r="J209" s="51"/>
      <c r="K209" s="58"/>
      <c r="L209" s="59"/>
      <c r="M209" s="58"/>
      <c r="N209" s="58"/>
      <c r="O209" s="77"/>
      <c r="P209" s="112"/>
      <c r="Q209" s="37"/>
      <c r="R209" s="74"/>
      <c r="S209" s="74"/>
      <c r="T209" s="74"/>
      <c r="U209" s="114"/>
      <c r="V209" s="115"/>
      <c r="W209" s="116"/>
      <c r="X209" s="117"/>
      <c r="Y209" s="111"/>
      <c r="Z209" s="111"/>
      <c r="AH209" s="18"/>
      <c r="AI209" s="18"/>
    </row>
    <row r="210" spans="1:35">
      <c r="A210" s="54"/>
      <c r="B210" s="54"/>
      <c r="C210" s="51"/>
      <c r="D210" s="54"/>
      <c r="E210" s="51"/>
      <c r="F210" s="56"/>
      <c r="G210" s="54"/>
      <c r="H210" s="86"/>
      <c r="I210" s="51"/>
      <c r="J210" s="51"/>
      <c r="K210" s="58"/>
      <c r="L210" s="59"/>
      <c r="M210" s="58"/>
      <c r="N210" s="58"/>
      <c r="O210" s="77"/>
      <c r="P210" s="112"/>
      <c r="Q210" s="37"/>
      <c r="R210" s="74"/>
      <c r="S210" s="74"/>
      <c r="T210" s="74"/>
      <c r="U210" s="114"/>
      <c r="V210" s="115"/>
      <c r="W210" s="116"/>
      <c r="X210" s="117"/>
      <c r="Y210" s="111"/>
      <c r="Z210" s="111"/>
      <c r="AH210" s="18"/>
      <c r="AI210" s="18"/>
    </row>
    <row r="211" spans="1:35">
      <c r="A211" s="54"/>
      <c r="B211" s="54"/>
      <c r="C211" s="51"/>
      <c r="D211" s="54"/>
      <c r="E211" s="51"/>
      <c r="F211" s="56"/>
      <c r="G211" s="54"/>
      <c r="H211" s="37"/>
      <c r="I211" s="51"/>
      <c r="J211" s="51"/>
      <c r="K211" s="58"/>
      <c r="L211" s="59"/>
      <c r="M211" s="58"/>
      <c r="N211" s="58"/>
      <c r="O211" s="77"/>
      <c r="P211" s="112"/>
      <c r="Q211" s="37"/>
      <c r="R211" s="74"/>
      <c r="S211" s="74"/>
      <c r="T211" s="74"/>
      <c r="U211" s="114"/>
      <c r="V211" s="115"/>
      <c r="W211" s="116"/>
      <c r="X211" s="117"/>
      <c r="Y211" s="111"/>
      <c r="Z211" s="111"/>
      <c r="AH211" s="18"/>
      <c r="AI211" s="18"/>
    </row>
    <row r="212" spans="1:35">
      <c r="A212" s="54"/>
      <c r="B212" s="54"/>
      <c r="C212" s="51"/>
      <c r="D212" s="54"/>
      <c r="E212" s="51"/>
      <c r="F212" s="51"/>
      <c r="G212" s="54"/>
      <c r="H212" s="86"/>
      <c r="I212" s="51"/>
      <c r="J212" s="51"/>
      <c r="K212" s="58"/>
      <c r="L212" s="59"/>
      <c r="M212" s="58"/>
      <c r="N212" s="58"/>
      <c r="O212" s="77"/>
      <c r="P212" s="112"/>
      <c r="Q212" s="37"/>
      <c r="R212" s="74"/>
      <c r="S212" s="74"/>
      <c r="T212" s="74"/>
      <c r="U212" s="114"/>
      <c r="V212" s="115"/>
      <c r="W212" s="116"/>
      <c r="X212" s="117"/>
      <c r="Y212" s="111"/>
      <c r="Z212" s="111"/>
      <c r="AH212" s="18"/>
      <c r="AI212" s="18"/>
    </row>
    <row r="213" spans="1:35">
      <c r="A213" s="54"/>
      <c r="B213" s="54"/>
      <c r="C213" s="51"/>
      <c r="D213" s="54"/>
      <c r="E213" s="111"/>
      <c r="F213" s="111"/>
      <c r="G213" s="110"/>
      <c r="H213" s="111"/>
      <c r="I213" s="111"/>
      <c r="J213" s="111"/>
      <c r="K213" s="58"/>
      <c r="L213" s="111"/>
      <c r="M213" s="58"/>
      <c r="N213" s="58"/>
      <c r="O213" s="77"/>
      <c r="P213" s="112"/>
      <c r="Q213" s="37"/>
      <c r="R213" s="74"/>
      <c r="S213" s="74"/>
      <c r="T213" s="74"/>
      <c r="U213" s="114"/>
      <c r="V213" s="115"/>
      <c r="W213" s="116"/>
      <c r="X213" s="117"/>
      <c r="Y213" s="111"/>
      <c r="Z213" s="111"/>
      <c r="AH213" s="18"/>
      <c r="AI213" s="18"/>
    </row>
    <row r="214" spans="1:35">
      <c r="A214" s="54"/>
      <c r="B214" s="54"/>
      <c r="C214" s="51"/>
      <c r="D214" s="54"/>
      <c r="E214" s="111"/>
      <c r="F214" s="111"/>
      <c r="G214" s="110"/>
      <c r="H214" s="111"/>
      <c r="I214" s="111"/>
      <c r="J214" s="111"/>
      <c r="K214" s="58"/>
      <c r="L214" s="111"/>
      <c r="M214" s="58"/>
      <c r="N214" s="58"/>
      <c r="O214" s="77"/>
      <c r="P214" s="112"/>
      <c r="Q214" s="37"/>
      <c r="R214" s="74"/>
      <c r="S214" s="74"/>
      <c r="T214" s="74"/>
      <c r="U214" s="114"/>
      <c r="V214" s="115"/>
      <c r="W214" s="116"/>
      <c r="X214" s="117"/>
      <c r="Y214" s="111"/>
      <c r="Z214" s="111"/>
      <c r="AH214" s="18"/>
      <c r="AI214" s="18"/>
    </row>
    <row r="215" spans="1:35">
      <c r="A215" s="54"/>
      <c r="B215" s="54"/>
      <c r="C215" s="51"/>
      <c r="D215" s="54"/>
      <c r="E215" s="111"/>
      <c r="F215" s="111"/>
      <c r="G215" s="110"/>
      <c r="H215" s="111"/>
      <c r="I215" s="111"/>
      <c r="J215" s="111"/>
      <c r="K215" s="58"/>
      <c r="L215" s="111"/>
      <c r="M215" s="58"/>
      <c r="N215" s="58"/>
      <c r="O215" s="77"/>
      <c r="P215" s="112"/>
      <c r="Q215" s="37"/>
      <c r="R215" s="74"/>
      <c r="S215" s="74"/>
      <c r="T215" s="74"/>
      <c r="U215" s="114"/>
      <c r="V215" s="115"/>
      <c r="W215" s="116"/>
      <c r="X215" s="117"/>
      <c r="Y215" s="111"/>
      <c r="Z215" s="111"/>
      <c r="AH215" s="18"/>
      <c r="AI215" s="18"/>
    </row>
    <row r="216" spans="1:35">
      <c r="A216" s="51"/>
      <c r="B216" s="51"/>
      <c r="C216" s="51"/>
      <c r="D216" s="51"/>
      <c r="E216" s="51"/>
      <c r="F216" s="55"/>
      <c r="G216" s="56"/>
      <c r="H216" s="57"/>
      <c r="I216" s="51"/>
      <c r="J216" s="51"/>
      <c r="K216" s="58"/>
      <c r="L216" s="59"/>
      <c r="M216" s="58"/>
      <c r="N216" s="58"/>
      <c r="O216" s="51"/>
      <c r="P216" s="51"/>
      <c r="Q216" s="37"/>
      <c r="R216" s="70"/>
      <c r="S216" s="70"/>
      <c r="T216" s="70"/>
      <c r="U216" s="71"/>
      <c r="V216" s="73"/>
      <c r="W216" s="75"/>
      <c r="X216" s="117"/>
      <c r="Y216" s="111"/>
      <c r="Z216" s="111"/>
      <c r="AH216" s="18"/>
      <c r="AI216" s="18"/>
    </row>
    <row r="217" spans="1:35">
      <c r="A217" s="51"/>
      <c r="B217" s="51"/>
      <c r="C217" s="51"/>
      <c r="D217" s="51"/>
      <c r="E217" s="51"/>
      <c r="F217" s="55"/>
      <c r="G217" s="56"/>
      <c r="H217" s="57"/>
      <c r="I217" s="51"/>
      <c r="J217" s="51"/>
      <c r="K217" s="58"/>
      <c r="L217" s="59"/>
      <c r="M217" s="58"/>
      <c r="N217" s="58"/>
      <c r="O217" s="51"/>
      <c r="P217" s="51"/>
      <c r="Q217" s="37"/>
      <c r="R217" s="70"/>
      <c r="S217" s="70"/>
      <c r="T217" s="70"/>
      <c r="U217" s="71"/>
      <c r="V217" s="73"/>
      <c r="W217" s="75"/>
      <c r="X217" s="117"/>
      <c r="Y217" s="111"/>
      <c r="Z217" s="111"/>
      <c r="AH217" s="18"/>
      <c r="AI217" s="18"/>
    </row>
    <row r="218" spans="1:35">
      <c r="A218" s="51"/>
      <c r="B218" s="51"/>
      <c r="C218" s="51"/>
      <c r="D218" s="51"/>
      <c r="E218" s="51"/>
      <c r="F218" s="55"/>
      <c r="G218" s="56"/>
      <c r="H218" s="57"/>
      <c r="I218" s="51"/>
      <c r="J218" s="51"/>
      <c r="K218" s="58"/>
      <c r="L218" s="59"/>
      <c r="M218" s="58"/>
      <c r="N218" s="58"/>
      <c r="O218" s="51"/>
      <c r="P218" s="51"/>
      <c r="Q218" s="37"/>
      <c r="R218" s="70"/>
      <c r="S218" s="70"/>
      <c r="T218" s="70"/>
      <c r="U218" s="71"/>
      <c r="V218" s="73"/>
      <c r="W218" s="75"/>
      <c r="X218" s="117"/>
      <c r="Y218" s="111"/>
      <c r="Z218" s="111"/>
      <c r="AH218" s="18"/>
      <c r="AI218" s="18"/>
    </row>
    <row r="219" spans="1:35">
      <c r="A219" s="51"/>
      <c r="B219" s="54"/>
      <c r="C219" s="51"/>
      <c r="D219" s="54"/>
      <c r="E219" s="51"/>
      <c r="F219" s="55"/>
      <c r="G219" s="56"/>
      <c r="H219" s="57"/>
      <c r="I219" s="51"/>
      <c r="J219" s="51"/>
      <c r="K219" s="58"/>
      <c r="L219" s="59"/>
      <c r="M219" s="58"/>
      <c r="N219" s="58"/>
      <c r="O219" s="51"/>
      <c r="P219" s="51"/>
      <c r="Q219" s="37"/>
      <c r="R219" s="70"/>
      <c r="S219" s="70"/>
      <c r="T219" s="70"/>
      <c r="U219" s="71"/>
      <c r="V219" s="73"/>
      <c r="W219" s="75"/>
      <c r="X219" s="117"/>
      <c r="Y219" s="111"/>
      <c r="Z219" s="111"/>
      <c r="AH219" s="18"/>
      <c r="AI219" s="18"/>
    </row>
    <row r="220" spans="1:35">
      <c r="A220" s="110"/>
      <c r="B220" s="54"/>
      <c r="C220" s="51"/>
      <c r="D220" s="54"/>
      <c r="E220" s="111"/>
      <c r="F220" s="111"/>
      <c r="G220" s="110"/>
      <c r="H220" s="111"/>
      <c r="I220" s="111"/>
      <c r="J220" s="111"/>
      <c r="K220" s="58"/>
      <c r="L220" s="111"/>
      <c r="M220" s="58"/>
      <c r="N220" s="58"/>
      <c r="O220" s="77"/>
      <c r="P220" s="112"/>
      <c r="Q220" s="37"/>
      <c r="R220" s="113"/>
      <c r="S220" s="113"/>
      <c r="T220" s="113"/>
      <c r="U220" s="114"/>
      <c r="V220" s="115"/>
      <c r="W220" s="116"/>
      <c r="X220" s="117"/>
      <c r="Y220" s="111"/>
      <c r="Z220" s="111"/>
      <c r="AH220" s="18"/>
      <c r="AI220" s="18"/>
    </row>
    <row r="221" spans="1:35">
      <c r="A221" s="110"/>
      <c r="B221" s="54"/>
      <c r="C221" s="51"/>
      <c r="D221" s="54"/>
      <c r="E221" s="111"/>
      <c r="F221" s="111"/>
      <c r="G221" s="110"/>
      <c r="H221" s="111"/>
      <c r="I221" s="111"/>
      <c r="J221" s="111"/>
      <c r="K221" s="58"/>
      <c r="L221" s="111"/>
      <c r="M221" s="58"/>
      <c r="N221" s="58"/>
      <c r="O221" s="77"/>
      <c r="P221" s="112"/>
      <c r="Q221" s="37"/>
      <c r="R221" s="113"/>
      <c r="S221" s="113"/>
      <c r="T221" s="113"/>
      <c r="U221" s="114"/>
      <c r="V221" s="115"/>
      <c r="W221" s="116"/>
      <c r="X221" s="117"/>
      <c r="Y221" s="111"/>
      <c r="Z221" s="111"/>
      <c r="AH221" s="18"/>
      <c r="AI221" s="18"/>
    </row>
    <row r="222" spans="1:35">
      <c r="A222" s="110"/>
      <c r="B222" s="54"/>
      <c r="C222" s="51"/>
      <c r="D222" s="54"/>
      <c r="E222" s="111"/>
      <c r="F222" s="111"/>
      <c r="G222" s="110"/>
      <c r="H222" s="111"/>
      <c r="I222" s="111"/>
      <c r="J222" s="111"/>
      <c r="K222" s="58"/>
      <c r="L222" s="111"/>
      <c r="M222" s="58"/>
      <c r="N222" s="58"/>
      <c r="O222" s="77"/>
      <c r="P222" s="112"/>
      <c r="Q222" s="37"/>
      <c r="R222" s="113"/>
      <c r="S222" s="113"/>
      <c r="T222" s="113"/>
      <c r="U222" s="114"/>
      <c r="V222" s="115"/>
      <c r="W222" s="116"/>
      <c r="X222" s="117"/>
      <c r="Y222" s="111"/>
      <c r="Z222" s="111"/>
      <c r="AH222" s="18"/>
      <c r="AI222" s="18"/>
    </row>
    <row r="223" spans="1:35">
      <c r="A223" s="110"/>
      <c r="B223" s="54"/>
      <c r="C223" s="51"/>
      <c r="D223" s="54"/>
      <c r="E223" s="111"/>
      <c r="F223" s="111"/>
      <c r="G223" s="110"/>
      <c r="H223" s="111"/>
      <c r="I223" s="111"/>
      <c r="J223" s="111"/>
      <c r="K223" s="58"/>
      <c r="L223" s="111"/>
      <c r="M223" s="58"/>
      <c r="N223" s="58"/>
      <c r="O223" s="77"/>
      <c r="P223" s="112"/>
      <c r="Q223" s="37"/>
      <c r="R223" s="113"/>
      <c r="S223" s="113"/>
      <c r="T223" s="113"/>
      <c r="U223" s="114"/>
      <c r="V223" s="115"/>
      <c r="W223" s="116"/>
      <c r="X223" s="117"/>
      <c r="Y223" s="111"/>
      <c r="Z223" s="111"/>
      <c r="AH223" s="18"/>
      <c r="AI223" s="18"/>
    </row>
    <row r="224" spans="1:35">
      <c r="A224" s="118"/>
      <c r="B224" s="54"/>
      <c r="C224" s="51"/>
      <c r="D224" s="54"/>
      <c r="E224" s="111"/>
      <c r="F224" s="111"/>
      <c r="G224" s="110"/>
      <c r="H224" s="111"/>
      <c r="I224" s="111"/>
      <c r="J224" s="111"/>
      <c r="K224" s="58"/>
      <c r="L224" s="111"/>
      <c r="M224" s="58"/>
      <c r="N224" s="58"/>
      <c r="O224" s="77"/>
      <c r="P224" s="112"/>
      <c r="Q224" s="37"/>
      <c r="R224" s="113"/>
      <c r="S224" s="113"/>
      <c r="T224" s="113"/>
      <c r="U224" s="114"/>
      <c r="V224" s="115"/>
      <c r="W224" s="116"/>
      <c r="X224" s="117"/>
      <c r="Y224" s="111"/>
      <c r="Z224" s="111"/>
      <c r="AH224" s="18"/>
      <c r="AI224" s="18"/>
    </row>
    <row r="225" spans="1:35">
      <c r="A225" s="118"/>
      <c r="B225" s="54"/>
      <c r="C225" s="51"/>
      <c r="D225" s="54"/>
      <c r="E225" s="111"/>
      <c r="F225" s="111"/>
      <c r="G225" s="110"/>
      <c r="H225" s="111"/>
      <c r="I225" s="111"/>
      <c r="J225" s="111"/>
      <c r="K225" s="58"/>
      <c r="L225" s="111"/>
      <c r="M225" s="58"/>
      <c r="N225" s="58"/>
      <c r="O225" s="77"/>
      <c r="P225" s="112"/>
      <c r="Q225" s="37"/>
      <c r="R225" s="113"/>
      <c r="S225" s="113"/>
      <c r="T225" s="113"/>
      <c r="U225" s="114"/>
      <c r="V225" s="115"/>
      <c r="W225" s="116"/>
      <c r="X225" s="117"/>
      <c r="Y225" s="111"/>
      <c r="Z225" s="111"/>
      <c r="AH225" s="18"/>
      <c r="AI225" s="18"/>
    </row>
    <row r="226" spans="1:35">
      <c r="A226" s="118"/>
      <c r="B226" s="54"/>
      <c r="C226" s="51"/>
      <c r="D226" s="54"/>
      <c r="E226" s="111"/>
      <c r="F226" s="111"/>
      <c r="G226" s="110"/>
      <c r="H226" s="111"/>
      <c r="I226" s="111"/>
      <c r="J226" s="111"/>
      <c r="K226" s="58"/>
      <c r="L226" s="111"/>
      <c r="M226" s="58"/>
      <c r="N226" s="58"/>
      <c r="O226" s="77"/>
      <c r="P226" s="112"/>
      <c r="Q226" s="37"/>
      <c r="R226" s="113"/>
      <c r="S226" s="113"/>
      <c r="T226" s="113"/>
      <c r="U226" s="114"/>
      <c r="V226" s="115"/>
      <c r="W226" s="116"/>
      <c r="X226" s="117"/>
      <c r="Y226" s="111"/>
      <c r="Z226" s="111"/>
      <c r="AH226" s="18"/>
      <c r="AI226" s="18"/>
    </row>
    <row r="227" spans="1:35">
      <c r="A227" s="118"/>
      <c r="B227" s="54"/>
      <c r="C227" s="51"/>
      <c r="D227" s="54"/>
      <c r="E227" s="111"/>
      <c r="F227" s="111"/>
      <c r="G227" s="110"/>
      <c r="H227" s="111"/>
      <c r="I227" s="111"/>
      <c r="J227" s="111"/>
      <c r="K227" s="58"/>
      <c r="L227" s="111"/>
      <c r="M227" s="58"/>
      <c r="N227" s="58"/>
      <c r="O227" s="77"/>
      <c r="P227" s="112"/>
      <c r="Q227" s="37"/>
      <c r="R227" s="113"/>
      <c r="S227" s="113"/>
      <c r="T227" s="113"/>
      <c r="U227" s="114"/>
      <c r="V227" s="115"/>
      <c r="W227" s="116"/>
      <c r="X227" s="117"/>
      <c r="Y227" s="111"/>
      <c r="Z227" s="111"/>
      <c r="AH227" s="18"/>
      <c r="AI227" s="18"/>
    </row>
    <row r="228" spans="1:35">
      <c r="A228" s="118"/>
      <c r="B228" s="54"/>
      <c r="C228" s="51"/>
      <c r="D228" s="54"/>
      <c r="E228" s="111"/>
      <c r="F228" s="111"/>
      <c r="G228" s="110"/>
      <c r="H228" s="111"/>
      <c r="I228" s="111"/>
      <c r="J228" s="111"/>
      <c r="K228" s="58"/>
      <c r="L228" s="111"/>
      <c r="M228" s="58"/>
      <c r="N228" s="58"/>
      <c r="O228" s="77"/>
      <c r="P228" s="112"/>
      <c r="Q228" s="37"/>
      <c r="R228" s="113"/>
      <c r="S228" s="113"/>
      <c r="T228" s="113"/>
      <c r="U228" s="114"/>
      <c r="V228" s="115"/>
      <c r="W228" s="116"/>
      <c r="X228" s="117"/>
      <c r="Y228" s="111"/>
      <c r="Z228" s="111"/>
      <c r="AH228" s="18"/>
      <c r="AI228" s="18"/>
    </row>
    <row r="229" spans="1:35">
      <c r="A229" s="118"/>
      <c r="B229" s="54"/>
      <c r="C229" s="51"/>
      <c r="D229" s="54"/>
      <c r="E229" s="111"/>
      <c r="F229" s="111"/>
      <c r="G229" s="110"/>
      <c r="H229" s="111"/>
      <c r="I229" s="111"/>
      <c r="J229" s="111"/>
      <c r="K229" s="58"/>
      <c r="L229" s="111"/>
      <c r="M229" s="58"/>
      <c r="N229" s="58"/>
      <c r="O229" s="77"/>
      <c r="P229" s="112"/>
      <c r="Q229" s="37"/>
      <c r="R229" s="113"/>
      <c r="S229" s="113"/>
      <c r="T229" s="113"/>
      <c r="U229" s="114"/>
      <c r="V229" s="115"/>
      <c r="W229" s="116"/>
      <c r="X229" s="117"/>
      <c r="Y229" s="111"/>
      <c r="Z229" s="111"/>
      <c r="AH229" s="18"/>
      <c r="AI229" s="18"/>
    </row>
    <row r="230" spans="1:35">
      <c r="A230" s="118"/>
      <c r="B230" s="54"/>
      <c r="C230" s="51"/>
      <c r="D230" s="54"/>
      <c r="E230" s="111"/>
      <c r="F230" s="111"/>
      <c r="G230" s="110"/>
      <c r="H230" s="110"/>
      <c r="I230" s="111"/>
      <c r="J230" s="111"/>
      <c r="K230" s="58"/>
      <c r="L230" s="111"/>
      <c r="M230" s="58"/>
      <c r="N230" s="58"/>
      <c r="O230" s="77"/>
      <c r="P230" s="112"/>
      <c r="Q230" s="37"/>
      <c r="R230" s="113"/>
      <c r="S230" s="113"/>
      <c r="T230" s="113"/>
      <c r="U230" s="114"/>
      <c r="V230" s="115"/>
      <c r="W230" s="116"/>
      <c r="X230" s="117"/>
      <c r="Y230" s="111"/>
      <c r="Z230" s="111"/>
      <c r="AH230" s="18"/>
      <c r="AI230" s="18"/>
    </row>
    <row r="231" spans="1:35">
      <c r="A231" s="118"/>
      <c r="B231" s="54"/>
      <c r="C231" s="51"/>
      <c r="D231" s="54"/>
      <c r="E231" s="111"/>
      <c r="F231" s="111"/>
      <c r="G231" s="110"/>
      <c r="H231" s="111"/>
      <c r="I231" s="111"/>
      <c r="J231" s="111"/>
      <c r="K231" s="58"/>
      <c r="L231" s="111"/>
      <c r="M231" s="58"/>
      <c r="N231" s="58"/>
      <c r="O231" s="77"/>
      <c r="P231" s="112"/>
      <c r="Q231" s="37"/>
      <c r="R231" s="113"/>
      <c r="S231" s="113"/>
      <c r="T231" s="113"/>
      <c r="U231" s="114"/>
      <c r="V231" s="115"/>
      <c r="W231" s="116"/>
      <c r="X231" s="117"/>
      <c r="Y231" s="111"/>
      <c r="Z231" s="111"/>
      <c r="AH231" s="18"/>
      <c r="AI231" s="18"/>
    </row>
    <row r="232" spans="1:35">
      <c r="A232" s="118"/>
      <c r="B232" s="54"/>
      <c r="C232" s="51"/>
      <c r="D232" s="54"/>
      <c r="E232" s="111"/>
      <c r="F232" s="111"/>
      <c r="G232" s="110"/>
      <c r="H232" s="111"/>
      <c r="I232" s="111"/>
      <c r="J232" s="111"/>
      <c r="K232" s="58"/>
      <c r="L232" s="111"/>
      <c r="M232" s="58"/>
      <c r="N232" s="58"/>
      <c r="O232" s="77"/>
      <c r="P232" s="112"/>
      <c r="Q232" s="37"/>
      <c r="R232" s="113"/>
      <c r="S232" s="113"/>
      <c r="T232" s="113"/>
      <c r="U232" s="114"/>
      <c r="V232" s="115"/>
      <c r="W232" s="116"/>
      <c r="X232" s="117"/>
      <c r="Y232" s="111"/>
      <c r="Z232" s="111"/>
      <c r="AH232" s="18"/>
      <c r="AI232" s="18"/>
    </row>
    <row r="233" spans="1:35">
      <c r="A233" s="118"/>
      <c r="B233" s="54"/>
      <c r="C233" s="51"/>
      <c r="D233" s="54"/>
      <c r="E233" s="111"/>
      <c r="F233" s="111"/>
      <c r="G233" s="110"/>
      <c r="H233" s="111"/>
      <c r="I233" s="111"/>
      <c r="J233" s="111"/>
      <c r="K233" s="58"/>
      <c r="L233" s="111"/>
      <c r="M233" s="58"/>
      <c r="N233" s="58"/>
      <c r="O233" s="77"/>
      <c r="P233" s="112"/>
      <c r="Q233" s="37"/>
      <c r="R233" s="113"/>
      <c r="S233" s="113"/>
      <c r="T233" s="113"/>
      <c r="U233" s="114"/>
      <c r="V233" s="115"/>
      <c r="W233" s="116"/>
      <c r="X233" s="117"/>
      <c r="Y233" s="111"/>
      <c r="Z233" s="111"/>
      <c r="AH233" s="18"/>
      <c r="AI233" s="18"/>
    </row>
    <row r="234" spans="1:35">
      <c r="A234" s="51"/>
      <c r="B234" s="51"/>
      <c r="C234" s="51"/>
      <c r="D234" s="51"/>
      <c r="E234" s="51"/>
      <c r="F234" s="55"/>
      <c r="G234" s="56"/>
      <c r="H234" s="57"/>
      <c r="I234" s="51"/>
      <c r="J234" s="51"/>
      <c r="K234" s="58"/>
      <c r="L234" s="59"/>
      <c r="M234" s="58"/>
      <c r="N234" s="58"/>
      <c r="O234" s="51"/>
      <c r="P234" s="51"/>
      <c r="Q234" s="37"/>
      <c r="R234" s="70"/>
      <c r="S234" s="70"/>
      <c r="T234" s="70"/>
      <c r="U234" s="71"/>
      <c r="V234" s="73"/>
      <c r="W234" s="75"/>
      <c r="X234" s="117"/>
      <c r="Y234" s="111"/>
      <c r="Z234" s="111"/>
      <c r="AH234" s="18"/>
      <c r="AI234" s="18"/>
    </row>
    <row r="235" spans="1:35">
      <c r="A235" s="51"/>
      <c r="B235" s="51"/>
      <c r="C235" s="51"/>
      <c r="D235" s="51"/>
      <c r="E235" s="51"/>
      <c r="F235" s="55"/>
      <c r="G235" s="56"/>
      <c r="H235" s="57"/>
      <c r="I235" s="51"/>
      <c r="J235" s="51"/>
      <c r="K235" s="58"/>
      <c r="L235" s="59"/>
      <c r="M235" s="58"/>
      <c r="N235" s="58"/>
      <c r="O235" s="51"/>
      <c r="P235" s="51"/>
      <c r="Q235" s="37"/>
      <c r="R235" s="70"/>
      <c r="S235" s="70"/>
      <c r="T235" s="70"/>
      <c r="U235" s="71"/>
      <c r="V235" s="73"/>
      <c r="W235" s="75"/>
      <c r="X235" s="117"/>
      <c r="Y235" s="111"/>
      <c r="Z235" s="111"/>
      <c r="AH235" s="18"/>
      <c r="AI235" s="18"/>
    </row>
    <row r="236" spans="1:35">
      <c r="A236" s="51"/>
      <c r="B236" s="51"/>
      <c r="C236" s="51"/>
      <c r="D236" s="51"/>
      <c r="E236" s="51"/>
      <c r="F236" s="55"/>
      <c r="G236" s="56"/>
      <c r="H236" s="57"/>
      <c r="I236" s="51"/>
      <c r="J236" s="51"/>
      <c r="K236" s="58"/>
      <c r="L236" s="59"/>
      <c r="M236" s="58"/>
      <c r="N236" s="58"/>
      <c r="O236" s="51"/>
      <c r="P236" s="51"/>
      <c r="Q236" s="37"/>
      <c r="R236" s="70"/>
      <c r="S236" s="70"/>
      <c r="T236" s="70"/>
      <c r="U236" s="71"/>
      <c r="V236" s="73"/>
      <c r="W236" s="75"/>
      <c r="X236" s="117"/>
      <c r="Y236" s="111"/>
      <c r="Z236" s="111"/>
      <c r="AH236" s="18"/>
      <c r="AI236" s="18"/>
    </row>
    <row r="237" spans="1:35">
      <c r="A237" s="51"/>
      <c r="B237" s="51"/>
      <c r="C237" s="51"/>
      <c r="D237" s="51"/>
      <c r="E237" s="51"/>
      <c r="F237" s="55"/>
      <c r="G237" s="56"/>
      <c r="H237" s="57"/>
      <c r="I237" s="51"/>
      <c r="J237" s="51"/>
      <c r="K237" s="58"/>
      <c r="L237" s="59"/>
      <c r="M237" s="58"/>
      <c r="N237" s="58"/>
      <c r="O237" s="51"/>
      <c r="P237" s="51"/>
      <c r="Q237" s="37"/>
      <c r="R237" s="70"/>
      <c r="S237" s="70"/>
      <c r="T237" s="70"/>
      <c r="U237" s="71"/>
      <c r="V237" s="73"/>
      <c r="W237" s="75"/>
      <c r="X237" s="117"/>
      <c r="Y237" s="111"/>
      <c r="Z237" s="111"/>
      <c r="AH237" s="18"/>
      <c r="AI237" s="18"/>
    </row>
    <row r="238" spans="1:35">
      <c r="A238" s="51"/>
      <c r="B238" s="51"/>
      <c r="C238" s="51"/>
      <c r="D238" s="51"/>
      <c r="E238" s="51"/>
      <c r="F238" s="55"/>
      <c r="G238" s="56"/>
      <c r="H238" s="57"/>
      <c r="I238" s="51"/>
      <c r="J238" s="51"/>
      <c r="K238" s="58"/>
      <c r="L238" s="59"/>
      <c r="M238" s="58"/>
      <c r="N238" s="58"/>
      <c r="O238" s="51"/>
      <c r="P238" s="51"/>
      <c r="Q238" s="37"/>
      <c r="R238" s="70"/>
      <c r="S238" s="70"/>
      <c r="T238" s="70"/>
      <c r="U238" s="71"/>
      <c r="V238" s="73"/>
      <c r="W238" s="75"/>
      <c r="X238" s="117"/>
      <c r="Y238" s="111"/>
      <c r="Z238" s="111"/>
      <c r="AH238" s="18"/>
      <c r="AI238" s="18"/>
    </row>
    <row r="239" spans="1:35">
      <c r="A239" s="51"/>
      <c r="B239" s="51"/>
      <c r="C239" s="51"/>
      <c r="D239" s="51"/>
      <c r="E239" s="51"/>
      <c r="F239" s="55"/>
      <c r="G239" s="56"/>
      <c r="H239" s="57"/>
      <c r="I239" s="51"/>
      <c r="J239" s="51"/>
      <c r="K239" s="58"/>
      <c r="L239" s="59"/>
      <c r="M239" s="58"/>
      <c r="N239" s="58"/>
      <c r="O239" s="51"/>
      <c r="P239" s="51"/>
      <c r="Q239" s="37"/>
      <c r="R239" s="70"/>
      <c r="S239" s="70"/>
      <c r="T239" s="70"/>
      <c r="U239" s="71"/>
      <c r="V239" s="73"/>
      <c r="W239" s="75"/>
      <c r="X239" s="117"/>
      <c r="Y239" s="111"/>
      <c r="Z239" s="111"/>
      <c r="AH239" s="18"/>
      <c r="AI239" s="18"/>
    </row>
    <row r="240" spans="1:35">
      <c r="A240" s="51"/>
      <c r="B240" s="51"/>
      <c r="C240" s="51"/>
      <c r="D240" s="51"/>
      <c r="E240" s="51"/>
      <c r="F240" s="55"/>
      <c r="G240" s="56"/>
      <c r="H240" s="57"/>
      <c r="I240" s="51"/>
      <c r="J240" s="51"/>
      <c r="K240" s="58"/>
      <c r="L240" s="59"/>
      <c r="M240" s="58"/>
      <c r="N240" s="58"/>
      <c r="O240" s="51"/>
      <c r="P240" s="51"/>
      <c r="Q240" s="37"/>
      <c r="R240" s="70"/>
      <c r="S240" s="70"/>
      <c r="T240" s="70"/>
      <c r="U240" s="71"/>
      <c r="V240" s="73"/>
      <c r="W240" s="75"/>
      <c r="X240" s="117"/>
      <c r="Y240" s="111"/>
      <c r="Z240" s="111"/>
      <c r="AH240" s="18"/>
      <c r="AI240" s="18"/>
    </row>
    <row r="241" spans="1:35">
      <c r="A241" s="51"/>
      <c r="B241" s="51"/>
      <c r="C241" s="51"/>
      <c r="D241" s="51"/>
      <c r="E241" s="51"/>
      <c r="F241" s="55"/>
      <c r="G241" s="56"/>
      <c r="H241" s="57"/>
      <c r="I241" s="51"/>
      <c r="J241" s="51"/>
      <c r="K241" s="58"/>
      <c r="L241" s="59"/>
      <c r="M241" s="58"/>
      <c r="N241" s="58"/>
      <c r="O241" s="51"/>
      <c r="P241" s="51"/>
      <c r="Q241" s="37"/>
      <c r="R241" s="70"/>
      <c r="S241" s="70"/>
      <c r="T241" s="70"/>
      <c r="U241" s="71"/>
      <c r="V241" s="73"/>
      <c r="W241" s="75"/>
      <c r="X241" s="117"/>
      <c r="Y241" s="111"/>
      <c r="Z241" s="111"/>
      <c r="AH241" s="18"/>
      <c r="AI241" s="18"/>
    </row>
    <row r="242" spans="1:35">
      <c r="A242" s="51"/>
      <c r="B242" s="51"/>
      <c r="C242" s="51"/>
      <c r="D242" s="51"/>
      <c r="E242" s="51"/>
      <c r="F242" s="55"/>
      <c r="G242" s="56"/>
      <c r="H242" s="57"/>
      <c r="I242" s="51"/>
      <c r="J242" s="51"/>
      <c r="K242" s="58"/>
      <c r="L242" s="59"/>
      <c r="M242" s="58"/>
      <c r="N242" s="58"/>
      <c r="O242" s="51"/>
      <c r="P242" s="51"/>
      <c r="Q242" s="37"/>
      <c r="R242" s="70"/>
      <c r="S242" s="70"/>
      <c r="T242" s="70"/>
      <c r="U242" s="71"/>
      <c r="V242" s="73"/>
      <c r="W242" s="75"/>
      <c r="X242" s="117"/>
      <c r="Y242" s="111"/>
      <c r="Z242" s="111"/>
      <c r="AH242" s="18"/>
      <c r="AI242" s="18"/>
    </row>
    <row r="243" spans="1:35">
      <c r="A243" s="51"/>
      <c r="B243" s="51"/>
      <c r="C243" s="51"/>
      <c r="D243" s="51"/>
      <c r="E243" s="51"/>
      <c r="F243" s="55"/>
      <c r="G243" s="56"/>
      <c r="H243" s="57"/>
      <c r="I243" s="51"/>
      <c r="J243" s="51"/>
      <c r="K243" s="58"/>
      <c r="L243" s="59"/>
      <c r="M243" s="58"/>
      <c r="N243" s="58"/>
      <c r="O243" s="51"/>
      <c r="P243" s="51"/>
      <c r="Q243" s="37"/>
      <c r="R243" s="70"/>
      <c r="S243" s="70"/>
      <c r="T243" s="70"/>
      <c r="U243" s="71"/>
      <c r="V243" s="73"/>
      <c r="W243" s="75"/>
      <c r="X243" s="117"/>
      <c r="Y243" s="111"/>
      <c r="Z243" s="111"/>
      <c r="AH243" s="18"/>
      <c r="AI243" s="18"/>
    </row>
    <row r="244" spans="1:35">
      <c r="A244" s="51"/>
      <c r="B244" s="51"/>
      <c r="C244" s="51"/>
      <c r="D244" s="51"/>
      <c r="E244" s="51"/>
      <c r="F244" s="55"/>
      <c r="G244" s="56"/>
      <c r="H244" s="57"/>
      <c r="I244" s="51"/>
      <c r="J244" s="51"/>
      <c r="K244" s="58"/>
      <c r="L244" s="59"/>
      <c r="M244" s="58"/>
      <c r="N244" s="58"/>
      <c r="O244" s="51"/>
      <c r="P244" s="51"/>
      <c r="Q244" s="37"/>
      <c r="R244" s="70"/>
      <c r="S244" s="70"/>
      <c r="T244" s="70"/>
      <c r="U244" s="71"/>
      <c r="V244" s="73"/>
      <c r="W244" s="75"/>
      <c r="X244" s="117"/>
      <c r="Y244" s="111"/>
      <c r="Z244" s="111"/>
      <c r="AH244" s="18"/>
      <c r="AI244" s="18"/>
    </row>
    <row r="245" spans="1:35">
      <c r="A245" s="51"/>
      <c r="B245" s="51"/>
      <c r="C245" s="51"/>
      <c r="D245" s="51"/>
      <c r="E245" s="51"/>
      <c r="F245" s="55"/>
      <c r="G245" s="56"/>
      <c r="H245" s="57"/>
      <c r="I245" s="51"/>
      <c r="J245" s="51"/>
      <c r="K245" s="58"/>
      <c r="L245" s="59"/>
      <c r="M245" s="58"/>
      <c r="N245" s="58"/>
      <c r="O245" s="51"/>
      <c r="P245" s="51"/>
      <c r="Q245" s="37"/>
      <c r="R245" s="70"/>
      <c r="S245" s="70"/>
      <c r="T245" s="70"/>
      <c r="U245" s="71"/>
      <c r="V245" s="73"/>
      <c r="W245" s="75"/>
      <c r="X245" s="117"/>
      <c r="Y245" s="111"/>
      <c r="Z245" s="111"/>
      <c r="AH245" s="18"/>
      <c r="AI245" s="18"/>
    </row>
    <row r="246" spans="1:35">
      <c r="A246" s="51"/>
      <c r="B246" s="51"/>
      <c r="C246" s="51"/>
      <c r="D246" s="51"/>
      <c r="E246" s="51"/>
      <c r="F246" s="55"/>
      <c r="G246" s="56"/>
      <c r="H246" s="57"/>
      <c r="I246" s="51"/>
      <c r="J246" s="51"/>
      <c r="K246" s="58"/>
      <c r="L246" s="59"/>
      <c r="M246" s="58"/>
      <c r="N246" s="58"/>
      <c r="O246" s="51"/>
      <c r="P246" s="51"/>
      <c r="Q246" s="37"/>
      <c r="R246" s="70"/>
      <c r="S246" s="70"/>
      <c r="T246" s="70"/>
      <c r="U246" s="71"/>
      <c r="V246" s="73"/>
      <c r="W246" s="75"/>
      <c r="X246" s="117"/>
      <c r="Y246" s="111"/>
      <c r="Z246" s="111"/>
      <c r="AH246" s="18"/>
      <c r="AI246" s="18"/>
    </row>
    <row r="247" spans="1:35">
      <c r="A247" s="51"/>
      <c r="B247" s="51"/>
      <c r="C247" s="51"/>
      <c r="D247" s="51"/>
      <c r="E247" s="51"/>
      <c r="F247" s="55"/>
      <c r="G247" s="56"/>
      <c r="H247" s="57"/>
      <c r="I247" s="51"/>
      <c r="J247" s="51"/>
      <c r="K247" s="58"/>
      <c r="L247" s="59"/>
      <c r="M247" s="58"/>
      <c r="N247" s="58"/>
      <c r="O247" s="51"/>
      <c r="P247" s="51"/>
      <c r="Q247" s="37"/>
      <c r="R247" s="70"/>
      <c r="S247" s="70"/>
      <c r="T247" s="70"/>
      <c r="U247" s="71"/>
      <c r="V247" s="73"/>
      <c r="W247" s="75"/>
      <c r="X247" s="117"/>
      <c r="Y247" s="111"/>
      <c r="Z247" s="111"/>
      <c r="AH247" s="18"/>
      <c r="AI247" s="18"/>
    </row>
    <row r="248" spans="1:35">
      <c r="A248" s="51"/>
      <c r="B248" s="51"/>
      <c r="C248" s="51"/>
      <c r="D248" s="51"/>
      <c r="E248" s="51"/>
      <c r="F248" s="55"/>
      <c r="G248" s="56"/>
      <c r="H248" s="57"/>
      <c r="I248" s="51"/>
      <c r="J248" s="51"/>
      <c r="K248" s="58"/>
      <c r="L248" s="59"/>
      <c r="M248" s="58"/>
      <c r="N248" s="58"/>
      <c r="O248" s="51"/>
      <c r="P248" s="51"/>
      <c r="Q248" s="37"/>
      <c r="R248" s="70"/>
      <c r="S248" s="70"/>
      <c r="T248" s="70"/>
      <c r="U248" s="71"/>
      <c r="V248" s="73"/>
      <c r="W248" s="75"/>
      <c r="X248" s="117"/>
      <c r="Y248" s="111"/>
      <c r="Z248" s="111"/>
      <c r="AH248" s="18"/>
      <c r="AI248" s="18"/>
    </row>
    <row r="249" spans="1:35">
      <c r="A249" s="51"/>
      <c r="B249" s="51"/>
      <c r="C249" s="51"/>
      <c r="D249" s="51"/>
      <c r="E249" s="51"/>
      <c r="F249" s="55"/>
      <c r="G249" s="56"/>
      <c r="H249" s="57"/>
      <c r="I249" s="51"/>
      <c r="J249" s="51"/>
      <c r="K249" s="58"/>
      <c r="L249" s="59"/>
      <c r="M249" s="58"/>
      <c r="N249" s="58"/>
      <c r="O249" s="51"/>
      <c r="P249" s="51"/>
      <c r="Q249" s="37"/>
      <c r="R249" s="70"/>
      <c r="S249" s="70"/>
      <c r="T249" s="70"/>
      <c r="U249" s="71"/>
      <c r="V249" s="73"/>
      <c r="W249" s="75"/>
      <c r="X249" s="117"/>
      <c r="Y249" s="111"/>
      <c r="Z249" s="111"/>
      <c r="AH249" s="18"/>
      <c r="AI249" s="18"/>
    </row>
    <row r="250" spans="1:35">
      <c r="A250" s="51"/>
      <c r="B250" s="51"/>
      <c r="C250" s="51"/>
      <c r="D250" s="51"/>
      <c r="E250" s="51"/>
      <c r="F250" s="55"/>
      <c r="G250" s="56"/>
      <c r="H250" s="57"/>
      <c r="I250" s="51"/>
      <c r="J250" s="51"/>
      <c r="K250" s="58"/>
      <c r="L250" s="59"/>
      <c r="M250" s="58"/>
      <c r="N250" s="58"/>
      <c r="O250" s="51"/>
      <c r="P250" s="51"/>
      <c r="Q250" s="37"/>
      <c r="R250" s="70"/>
      <c r="S250" s="70"/>
      <c r="T250" s="70"/>
      <c r="U250" s="71"/>
      <c r="V250" s="73"/>
      <c r="W250" s="75"/>
      <c r="X250" s="117"/>
      <c r="Y250" s="111"/>
      <c r="Z250" s="111"/>
      <c r="AH250" s="18"/>
      <c r="AI250" s="18"/>
    </row>
    <row r="251" spans="1:35">
      <c r="A251" s="51"/>
      <c r="B251" s="51"/>
      <c r="C251" s="51"/>
      <c r="D251" s="51"/>
      <c r="E251" s="51"/>
      <c r="F251" s="55"/>
      <c r="G251" s="56"/>
      <c r="H251" s="57"/>
      <c r="I251" s="51"/>
      <c r="J251" s="51"/>
      <c r="K251" s="58"/>
      <c r="L251" s="59"/>
      <c r="M251" s="58"/>
      <c r="N251" s="58"/>
      <c r="O251" s="51"/>
      <c r="P251" s="51"/>
      <c r="Q251" s="37"/>
      <c r="R251" s="70"/>
      <c r="S251" s="70"/>
      <c r="T251" s="70"/>
      <c r="U251" s="71"/>
      <c r="V251" s="73"/>
      <c r="W251" s="75"/>
      <c r="X251" s="117"/>
      <c r="Y251" s="111"/>
      <c r="Z251" s="111"/>
      <c r="AH251" s="18"/>
      <c r="AI251" s="18"/>
    </row>
    <row r="252" spans="1:35">
      <c r="A252" s="51"/>
      <c r="B252" s="51"/>
      <c r="C252" s="51"/>
      <c r="D252" s="51"/>
      <c r="E252" s="51"/>
      <c r="F252" s="55"/>
      <c r="G252" s="56"/>
      <c r="H252" s="57"/>
      <c r="I252" s="51"/>
      <c r="J252" s="51"/>
      <c r="K252" s="58"/>
      <c r="L252" s="59"/>
      <c r="M252" s="58"/>
      <c r="N252" s="58"/>
      <c r="O252" s="51"/>
      <c r="P252" s="51"/>
      <c r="Q252" s="37"/>
      <c r="R252" s="70"/>
      <c r="S252" s="70"/>
      <c r="T252" s="70"/>
      <c r="U252" s="71"/>
      <c r="V252" s="73"/>
      <c r="W252" s="75"/>
      <c r="X252" s="117"/>
      <c r="Y252" s="111"/>
      <c r="Z252" s="111"/>
      <c r="AH252" s="18"/>
      <c r="AI252" s="18"/>
    </row>
    <row r="253" spans="1:35">
      <c r="A253" s="51"/>
      <c r="B253" s="51"/>
      <c r="C253" s="51"/>
      <c r="D253" s="51"/>
      <c r="E253" s="51"/>
      <c r="F253" s="55"/>
      <c r="G253" s="56"/>
      <c r="H253" s="57"/>
      <c r="I253" s="51"/>
      <c r="J253" s="51"/>
      <c r="K253" s="58"/>
      <c r="L253" s="59"/>
      <c r="M253" s="58"/>
      <c r="N253" s="58"/>
      <c r="O253" s="51"/>
      <c r="P253" s="51"/>
      <c r="Q253" s="37"/>
      <c r="R253" s="70"/>
      <c r="S253" s="70"/>
      <c r="T253" s="70"/>
      <c r="U253" s="71"/>
      <c r="V253" s="73"/>
      <c r="W253" s="75"/>
      <c r="X253" s="117"/>
      <c r="Y253" s="111"/>
      <c r="Z253" s="111"/>
      <c r="AH253" s="18"/>
      <c r="AI253" s="18"/>
    </row>
    <row r="254" spans="1:35">
      <c r="A254" s="51"/>
      <c r="B254" s="51"/>
      <c r="C254" s="51"/>
      <c r="D254" s="51"/>
      <c r="E254" s="51"/>
      <c r="F254" s="55"/>
      <c r="G254" s="56"/>
      <c r="H254" s="57"/>
      <c r="I254" s="51"/>
      <c r="J254" s="51"/>
      <c r="K254" s="58"/>
      <c r="L254" s="59"/>
      <c r="M254" s="58"/>
      <c r="N254" s="58"/>
      <c r="O254" s="51"/>
      <c r="P254" s="51"/>
      <c r="Q254" s="37"/>
      <c r="R254" s="70"/>
      <c r="S254" s="70"/>
      <c r="T254" s="70"/>
      <c r="U254" s="71"/>
      <c r="V254" s="73"/>
      <c r="W254" s="75"/>
      <c r="X254" s="117"/>
      <c r="Y254" s="111"/>
      <c r="Z254" s="111"/>
      <c r="AH254" s="18"/>
      <c r="AI254" s="18"/>
    </row>
    <row r="255" spans="1:35">
      <c r="A255" s="51"/>
      <c r="B255" s="51"/>
      <c r="C255" s="51"/>
      <c r="D255" s="51"/>
      <c r="E255" s="51"/>
      <c r="F255" s="55"/>
      <c r="G255" s="56"/>
      <c r="H255" s="57"/>
      <c r="I255" s="51"/>
      <c r="J255" s="51"/>
      <c r="K255" s="58"/>
      <c r="L255" s="59"/>
      <c r="M255" s="58"/>
      <c r="N255" s="58"/>
      <c r="O255" s="51"/>
      <c r="P255" s="51"/>
      <c r="Q255" s="37"/>
      <c r="R255" s="70"/>
      <c r="S255" s="70"/>
      <c r="T255" s="70"/>
      <c r="U255" s="71"/>
      <c r="V255" s="73"/>
      <c r="W255" s="75"/>
      <c r="X255" s="117"/>
      <c r="Y255" s="111"/>
      <c r="Z255" s="111"/>
      <c r="AH255" s="18"/>
      <c r="AI255" s="18"/>
    </row>
    <row r="256" spans="1:35">
      <c r="A256" s="51"/>
      <c r="B256" s="51"/>
      <c r="C256" s="51"/>
      <c r="D256" s="51"/>
      <c r="E256" s="51"/>
      <c r="F256" s="55"/>
      <c r="G256" s="56"/>
      <c r="H256" s="57"/>
      <c r="I256" s="51"/>
      <c r="J256" s="51"/>
      <c r="K256" s="58"/>
      <c r="L256" s="59"/>
      <c r="M256" s="58"/>
      <c r="N256" s="58"/>
      <c r="O256" s="51"/>
      <c r="P256" s="51"/>
      <c r="Q256" s="37"/>
      <c r="R256" s="70"/>
      <c r="S256" s="70"/>
      <c r="T256" s="70"/>
      <c r="U256" s="71"/>
      <c r="V256" s="73"/>
      <c r="W256" s="75"/>
      <c r="X256" s="117"/>
      <c r="Y256" s="111"/>
      <c r="Z256" s="111"/>
      <c r="AH256" s="18"/>
      <c r="AI256" s="18"/>
    </row>
    <row r="257" spans="1:35">
      <c r="A257" s="51"/>
      <c r="B257" s="51"/>
      <c r="C257" s="51"/>
      <c r="D257" s="51"/>
      <c r="E257" s="51"/>
      <c r="F257" s="55"/>
      <c r="G257" s="56"/>
      <c r="H257" s="57"/>
      <c r="I257" s="51"/>
      <c r="J257" s="51"/>
      <c r="K257" s="58"/>
      <c r="L257" s="59"/>
      <c r="M257" s="58"/>
      <c r="N257" s="58"/>
      <c r="O257" s="51"/>
      <c r="P257" s="51"/>
      <c r="Q257" s="37"/>
      <c r="R257" s="70"/>
      <c r="S257" s="70"/>
      <c r="T257" s="70"/>
      <c r="U257" s="71"/>
      <c r="V257" s="73"/>
      <c r="W257" s="75"/>
      <c r="X257" s="117"/>
      <c r="Y257" s="111"/>
      <c r="Z257" s="111"/>
      <c r="AH257" s="18"/>
      <c r="AI257" s="18"/>
    </row>
    <row r="258" spans="1:35">
      <c r="A258" s="51"/>
      <c r="B258" s="51"/>
      <c r="C258" s="51"/>
      <c r="D258" s="51"/>
      <c r="E258" s="51"/>
      <c r="F258" s="55"/>
      <c r="G258" s="56"/>
      <c r="H258" s="57"/>
      <c r="I258" s="51"/>
      <c r="J258" s="51"/>
      <c r="K258" s="58"/>
      <c r="L258" s="59"/>
      <c r="M258" s="58"/>
      <c r="N258" s="58"/>
      <c r="O258" s="51"/>
      <c r="P258" s="51"/>
      <c r="Q258" s="37"/>
      <c r="R258" s="70"/>
      <c r="S258" s="70"/>
      <c r="T258" s="70"/>
      <c r="U258" s="71"/>
      <c r="V258" s="73"/>
      <c r="W258" s="75"/>
      <c r="X258" s="117"/>
      <c r="Y258" s="111"/>
      <c r="Z258" s="111"/>
      <c r="AH258" s="18"/>
      <c r="AI258" s="18"/>
    </row>
    <row r="259" spans="1:35">
      <c r="A259" s="51"/>
      <c r="B259" s="51"/>
      <c r="C259" s="51"/>
      <c r="D259" s="51"/>
      <c r="E259" s="51"/>
      <c r="F259" s="55"/>
      <c r="G259" s="56"/>
      <c r="H259" s="57"/>
      <c r="I259" s="51"/>
      <c r="J259" s="51"/>
      <c r="K259" s="58"/>
      <c r="L259" s="59"/>
      <c r="M259" s="58"/>
      <c r="N259" s="58"/>
      <c r="O259" s="51"/>
      <c r="P259" s="51"/>
      <c r="Q259" s="37"/>
      <c r="R259" s="70"/>
      <c r="S259" s="70"/>
      <c r="T259" s="70"/>
      <c r="U259" s="71"/>
      <c r="V259" s="73"/>
      <c r="W259" s="75"/>
      <c r="X259" s="117"/>
      <c r="Y259" s="111"/>
      <c r="Z259" s="111"/>
      <c r="AH259" s="18"/>
      <c r="AI259" s="18"/>
    </row>
    <row r="260" spans="1:35">
      <c r="A260" s="51"/>
      <c r="B260" s="51"/>
      <c r="C260" s="51"/>
      <c r="D260" s="51"/>
      <c r="E260" s="51"/>
      <c r="F260" s="55"/>
      <c r="G260" s="56"/>
      <c r="H260" s="57"/>
      <c r="I260" s="51"/>
      <c r="J260" s="51"/>
      <c r="K260" s="58"/>
      <c r="L260" s="59"/>
      <c r="M260" s="58"/>
      <c r="N260" s="58"/>
      <c r="O260" s="51"/>
      <c r="P260" s="51"/>
      <c r="Q260" s="37"/>
      <c r="R260" s="70"/>
      <c r="S260" s="70"/>
      <c r="T260" s="70"/>
      <c r="U260" s="71"/>
      <c r="V260" s="73"/>
      <c r="W260" s="75"/>
      <c r="X260" s="117"/>
      <c r="Y260" s="111"/>
      <c r="Z260" s="111"/>
      <c r="AH260" s="18"/>
      <c r="AI260" s="18"/>
    </row>
    <row r="261" spans="1:35">
      <c r="A261" s="51"/>
      <c r="B261" s="51"/>
      <c r="C261" s="51"/>
      <c r="D261" s="51"/>
      <c r="E261" s="51"/>
      <c r="F261" s="55"/>
      <c r="G261" s="56"/>
      <c r="H261" s="57"/>
      <c r="I261" s="51"/>
      <c r="J261" s="51"/>
      <c r="K261" s="58"/>
      <c r="L261" s="59"/>
      <c r="M261" s="58"/>
      <c r="N261" s="58"/>
      <c r="O261" s="51"/>
      <c r="P261" s="51"/>
      <c r="Q261" s="37"/>
      <c r="R261" s="70"/>
      <c r="S261" s="70"/>
      <c r="T261" s="70"/>
      <c r="U261" s="71"/>
      <c r="V261" s="73"/>
      <c r="W261" s="75"/>
      <c r="X261" s="117"/>
      <c r="Y261" s="111"/>
      <c r="Z261" s="111"/>
      <c r="AH261" s="18"/>
      <c r="AI261" s="18"/>
    </row>
    <row r="262" spans="1:35">
      <c r="A262" s="51"/>
      <c r="B262" s="51"/>
      <c r="C262" s="51"/>
      <c r="D262" s="51"/>
      <c r="E262" s="51"/>
      <c r="F262" s="55"/>
      <c r="G262" s="56"/>
      <c r="H262" s="57"/>
      <c r="I262" s="51"/>
      <c r="J262" s="51"/>
      <c r="K262" s="58"/>
      <c r="L262" s="59"/>
      <c r="M262" s="58"/>
      <c r="N262" s="58"/>
      <c r="O262" s="51"/>
      <c r="P262" s="51"/>
      <c r="Q262" s="37"/>
      <c r="R262" s="70"/>
      <c r="S262" s="70"/>
      <c r="T262" s="70"/>
      <c r="U262" s="71"/>
      <c r="V262" s="73"/>
      <c r="W262" s="75"/>
      <c r="X262" s="117"/>
      <c r="Y262" s="111"/>
      <c r="Z262" s="111"/>
      <c r="AH262" s="18"/>
      <c r="AI262" s="18"/>
    </row>
    <row r="263" spans="1:35">
      <c r="A263" s="51"/>
      <c r="B263" s="51"/>
      <c r="C263" s="51"/>
      <c r="D263" s="51"/>
      <c r="E263" s="51"/>
      <c r="F263" s="55"/>
      <c r="G263" s="56"/>
      <c r="H263" s="57"/>
      <c r="I263" s="51"/>
      <c r="J263" s="51"/>
      <c r="K263" s="58"/>
      <c r="L263" s="59"/>
      <c r="M263" s="58"/>
      <c r="N263" s="58"/>
      <c r="O263" s="51"/>
      <c r="P263" s="51"/>
      <c r="Q263" s="37"/>
      <c r="R263" s="70"/>
      <c r="S263" s="70"/>
      <c r="T263" s="70"/>
      <c r="U263" s="71"/>
      <c r="V263" s="73"/>
      <c r="W263" s="75"/>
      <c r="X263" s="117"/>
      <c r="Y263" s="111"/>
      <c r="Z263" s="111"/>
      <c r="AH263" s="18"/>
      <c r="AI263" s="18"/>
    </row>
    <row r="264" spans="1:35">
      <c r="A264" s="51"/>
      <c r="B264" s="51"/>
      <c r="C264" s="51"/>
      <c r="D264" s="51"/>
      <c r="E264" s="51"/>
      <c r="F264" s="55"/>
      <c r="G264" s="56"/>
      <c r="H264" s="57"/>
      <c r="I264" s="51"/>
      <c r="J264" s="51"/>
      <c r="K264" s="58"/>
      <c r="L264" s="59"/>
      <c r="M264" s="58"/>
      <c r="N264" s="58"/>
      <c r="O264" s="51"/>
      <c r="P264" s="51"/>
      <c r="Q264" s="37"/>
      <c r="R264" s="70"/>
      <c r="S264" s="70"/>
      <c r="T264" s="70"/>
      <c r="U264" s="71"/>
      <c r="V264" s="73"/>
      <c r="W264" s="75"/>
      <c r="X264" s="117"/>
      <c r="Y264" s="111"/>
      <c r="Z264" s="111"/>
      <c r="AH264" s="18"/>
      <c r="AI264" s="18"/>
    </row>
    <row r="265" spans="1:35">
      <c r="A265" s="51"/>
      <c r="B265" s="51"/>
      <c r="C265" s="51"/>
      <c r="D265" s="51"/>
      <c r="E265" s="51"/>
      <c r="F265" s="55"/>
      <c r="G265" s="56"/>
      <c r="H265" s="57"/>
      <c r="I265" s="51"/>
      <c r="J265" s="51"/>
      <c r="K265" s="58"/>
      <c r="L265" s="59"/>
      <c r="M265" s="58"/>
      <c r="N265" s="58"/>
      <c r="O265" s="51"/>
      <c r="P265" s="51"/>
      <c r="Q265" s="37"/>
      <c r="R265" s="70"/>
      <c r="S265" s="70"/>
      <c r="T265" s="70"/>
      <c r="U265" s="71"/>
      <c r="V265" s="73"/>
      <c r="W265" s="75"/>
      <c r="X265" s="117"/>
      <c r="Y265" s="111"/>
      <c r="Z265" s="111"/>
      <c r="AH265" s="18"/>
      <c r="AI265" s="18"/>
    </row>
    <row r="266" spans="1:35">
      <c r="A266" s="51"/>
      <c r="B266" s="51"/>
      <c r="C266" s="51"/>
      <c r="D266" s="51"/>
      <c r="E266" s="51"/>
      <c r="F266" s="55"/>
      <c r="G266" s="56"/>
      <c r="H266" s="57"/>
      <c r="I266" s="51"/>
      <c r="J266" s="51"/>
      <c r="K266" s="58"/>
      <c r="L266" s="59"/>
      <c r="M266" s="58"/>
      <c r="N266" s="58"/>
      <c r="O266" s="51"/>
      <c r="P266" s="51"/>
      <c r="Q266" s="37"/>
      <c r="R266" s="70"/>
      <c r="S266" s="70"/>
      <c r="T266" s="70"/>
      <c r="U266" s="71"/>
      <c r="V266" s="73"/>
      <c r="W266" s="75"/>
      <c r="X266" s="117"/>
      <c r="Y266" s="111"/>
      <c r="Z266" s="111"/>
      <c r="AH266" s="18"/>
      <c r="AI266" s="18"/>
    </row>
    <row r="267" spans="1:35">
      <c r="A267" s="51"/>
      <c r="B267" s="51"/>
      <c r="C267" s="51"/>
      <c r="D267" s="51"/>
      <c r="E267" s="51"/>
      <c r="F267" s="55"/>
      <c r="G267" s="56"/>
      <c r="H267" s="57"/>
      <c r="I267" s="51"/>
      <c r="J267" s="51"/>
      <c r="K267" s="58"/>
      <c r="L267" s="59"/>
      <c r="M267" s="58"/>
      <c r="N267" s="58"/>
      <c r="O267" s="51"/>
      <c r="P267" s="51"/>
      <c r="Q267" s="37"/>
      <c r="R267" s="70"/>
      <c r="S267" s="70"/>
      <c r="T267" s="70"/>
      <c r="U267" s="71"/>
      <c r="V267" s="73"/>
      <c r="W267" s="75"/>
      <c r="X267" s="117"/>
      <c r="Y267" s="111"/>
      <c r="Z267" s="111"/>
      <c r="AH267" s="18"/>
      <c r="AI267" s="18"/>
    </row>
    <row r="268" spans="1:35">
      <c r="A268" s="51"/>
      <c r="B268" s="51"/>
      <c r="C268" s="51"/>
      <c r="D268" s="51"/>
      <c r="E268" s="51"/>
      <c r="F268" s="55"/>
      <c r="G268" s="56"/>
      <c r="H268" s="57"/>
      <c r="I268" s="51"/>
      <c r="J268" s="51"/>
      <c r="K268" s="58"/>
      <c r="L268" s="59"/>
      <c r="M268" s="58"/>
      <c r="N268" s="58"/>
      <c r="O268" s="51"/>
      <c r="P268" s="51"/>
      <c r="Q268" s="37"/>
      <c r="R268" s="70"/>
      <c r="S268" s="70"/>
      <c r="T268" s="70"/>
      <c r="U268" s="71"/>
      <c r="V268" s="73"/>
      <c r="W268" s="75"/>
      <c r="X268" s="117"/>
      <c r="Y268" s="111"/>
      <c r="Z268" s="111"/>
      <c r="AH268" s="18"/>
      <c r="AI268" s="18"/>
    </row>
    <row r="269" spans="1:35">
      <c r="A269" s="51"/>
      <c r="B269" s="51"/>
      <c r="C269" s="51"/>
      <c r="D269" s="51"/>
      <c r="E269" s="51"/>
      <c r="F269" s="55"/>
      <c r="G269" s="56"/>
      <c r="H269" s="57"/>
      <c r="I269" s="51"/>
      <c r="J269" s="51"/>
      <c r="K269" s="58"/>
      <c r="L269" s="59"/>
      <c r="M269" s="58"/>
      <c r="N269" s="58"/>
      <c r="O269" s="51"/>
      <c r="P269" s="51"/>
      <c r="Q269" s="37"/>
      <c r="R269" s="70"/>
      <c r="S269" s="70"/>
      <c r="T269" s="70"/>
      <c r="U269" s="71"/>
      <c r="V269" s="73"/>
      <c r="W269" s="75"/>
      <c r="X269" s="117"/>
      <c r="Y269" s="111"/>
      <c r="Z269" s="111"/>
      <c r="AH269" s="18"/>
      <c r="AI269" s="18"/>
    </row>
    <row r="270" spans="1:35">
      <c r="A270" s="51"/>
      <c r="B270" s="51"/>
      <c r="C270" s="51"/>
      <c r="D270" s="51"/>
      <c r="E270" s="51"/>
      <c r="F270" s="55"/>
      <c r="G270" s="56"/>
      <c r="H270" s="57"/>
      <c r="I270" s="51"/>
      <c r="J270" s="51"/>
      <c r="K270" s="58"/>
      <c r="L270" s="59"/>
      <c r="M270" s="58"/>
      <c r="N270" s="58"/>
      <c r="O270" s="51"/>
      <c r="P270" s="51"/>
      <c r="Q270" s="37"/>
      <c r="R270" s="70"/>
      <c r="S270" s="70"/>
      <c r="T270" s="70"/>
      <c r="U270" s="71"/>
      <c r="V270" s="73"/>
      <c r="W270" s="75"/>
      <c r="X270" s="117"/>
      <c r="Y270" s="111"/>
      <c r="Z270" s="111"/>
      <c r="AH270" s="18"/>
      <c r="AI270" s="18"/>
    </row>
    <row r="271" spans="1:35">
      <c r="A271" s="51"/>
      <c r="B271" s="51"/>
      <c r="C271" s="51"/>
      <c r="D271" s="51"/>
      <c r="E271" s="51"/>
      <c r="F271" s="55"/>
      <c r="G271" s="56"/>
      <c r="H271" s="57"/>
      <c r="I271" s="51"/>
      <c r="J271" s="51"/>
      <c r="K271" s="58"/>
      <c r="L271" s="59"/>
      <c r="M271" s="58"/>
      <c r="N271" s="58"/>
      <c r="O271" s="51"/>
      <c r="P271" s="51"/>
      <c r="Q271" s="37"/>
      <c r="R271" s="70"/>
      <c r="S271" s="70"/>
      <c r="T271" s="70"/>
      <c r="U271" s="71"/>
      <c r="V271" s="73"/>
      <c r="W271" s="75"/>
      <c r="X271" s="117"/>
      <c r="Y271" s="111"/>
      <c r="Z271" s="111"/>
      <c r="AH271" s="18"/>
      <c r="AI271" s="18"/>
    </row>
    <row r="272" spans="1:35">
      <c r="A272" s="51"/>
      <c r="B272" s="51"/>
      <c r="C272" s="51"/>
      <c r="D272" s="51"/>
      <c r="E272" s="51"/>
      <c r="F272" s="55"/>
      <c r="G272" s="56"/>
      <c r="H272" s="57"/>
      <c r="I272" s="51"/>
      <c r="J272" s="51"/>
      <c r="K272" s="58"/>
      <c r="L272" s="59"/>
      <c r="M272" s="58"/>
      <c r="N272" s="58"/>
      <c r="O272" s="51"/>
      <c r="P272" s="51"/>
      <c r="Q272" s="37"/>
      <c r="R272" s="70"/>
      <c r="S272" s="70"/>
      <c r="T272" s="70"/>
      <c r="U272" s="71"/>
      <c r="V272" s="73"/>
      <c r="W272" s="75"/>
      <c r="X272" s="117"/>
      <c r="Y272" s="111"/>
      <c r="Z272" s="111"/>
      <c r="AH272" s="18"/>
      <c r="AI272" s="18"/>
    </row>
    <row r="273" spans="1:35">
      <c r="A273" s="51"/>
      <c r="B273" s="51"/>
      <c r="C273" s="51"/>
      <c r="D273" s="51"/>
      <c r="E273" s="51"/>
      <c r="F273" s="55"/>
      <c r="G273" s="56"/>
      <c r="H273" s="57"/>
      <c r="I273" s="51"/>
      <c r="J273" s="51"/>
      <c r="K273" s="58"/>
      <c r="L273" s="59"/>
      <c r="M273" s="58"/>
      <c r="N273" s="58"/>
      <c r="O273" s="51"/>
      <c r="P273" s="51"/>
      <c r="Q273" s="37"/>
      <c r="R273" s="70"/>
      <c r="S273" s="70"/>
      <c r="T273" s="70"/>
      <c r="U273" s="71"/>
      <c r="V273" s="73"/>
      <c r="W273" s="75"/>
      <c r="X273" s="117"/>
      <c r="Y273" s="111"/>
      <c r="Z273" s="111"/>
      <c r="AH273" s="18"/>
      <c r="AI273" s="18"/>
    </row>
    <row r="274" spans="1:35">
      <c r="A274" s="51"/>
      <c r="B274" s="51"/>
      <c r="C274" s="51"/>
      <c r="D274" s="51"/>
      <c r="E274" s="51"/>
      <c r="F274" s="55"/>
      <c r="G274" s="56"/>
      <c r="H274" s="57"/>
      <c r="I274" s="51"/>
      <c r="J274" s="51"/>
      <c r="K274" s="58"/>
      <c r="L274" s="59"/>
      <c r="M274" s="58"/>
      <c r="N274" s="58"/>
      <c r="O274" s="51"/>
      <c r="P274" s="51"/>
      <c r="Q274" s="37"/>
      <c r="R274" s="70"/>
      <c r="S274" s="70"/>
      <c r="T274" s="70"/>
      <c r="U274" s="71"/>
      <c r="V274" s="73"/>
      <c r="W274" s="75"/>
      <c r="X274" s="117"/>
      <c r="Y274" s="111"/>
      <c r="Z274" s="111"/>
      <c r="AH274" s="18"/>
      <c r="AI274" s="18"/>
    </row>
    <row r="275" spans="1:35">
      <c r="A275" s="51"/>
      <c r="B275" s="51"/>
      <c r="C275" s="51"/>
      <c r="D275" s="51"/>
      <c r="E275" s="51"/>
      <c r="F275" s="55"/>
      <c r="G275" s="56"/>
      <c r="H275" s="57"/>
      <c r="I275" s="51"/>
      <c r="J275" s="51"/>
      <c r="K275" s="58"/>
      <c r="L275" s="59"/>
      <c r="M275" s="58"/>
      <c r="N275" s="58"/>
      <c r="O275" s="51"/>
      <c r="P275" s="51"/>
      <c r="Q275" s="37"/>
      <c r="R275" s="70"/>
      <c r="S275" s="70"/>
      <c r="T275" s="70"/>
      <c r="U275" s="71"/>
      <c r="V275" s="73"/>
      <c r="W275" s="75"/>
      <c r="X275" s="117"/>
      <c r="Y275" s="111"/>
      <c r="Z275" s="111"/>
      <c r="AH275" s="18"/>
      <c r="AI275" s="18"/>
    </row>
    <row r="276" spans="1:35">
      <c r="A276" s="51"/>
      <c r="B276" s="51"/>
      <c r="C276" s="51"/>
      <c r="D276" s="51"/>
      <c r="E276" s="51"/>
      <c r="F276" s="55"/>
      <c r="G276" s="56"/>
      <c r="H276" s="57"/>
      <c r="I276" s="51"/>
      <c r="J276" s="51"/>
      <c r="K276" s="58"/>
      <c r="L276" s="59"/>
      <c r="M276" s="58"/>
      <c r="N276" s="58"/>
      <c r="O276" s="51"/>
      <c r="P276" s="51"/>
      <c r="Q276" s="37"/>
      <c r="R276" s="70"/>
      <c r="S276" s="70"/>
      <c r="T276" s="70"/>
      <c r="U276" s="71"/>
      <c r="V276" s="73"/>
      <c r="W276" s="75"/>
      <c r="X276" s="117"/>
      <c r="Y276" s="111"/>
      <c r="Z276" s="111"/>
      <c r="AH276" s="18"/>
      <c r="AI276" s="18"/>
    </row>
    <row r="277" spans="1:35">
      <c r="A277" s="51"/>
      <c r="B277" s="51"/>
      <c r="C277" s="51"/>
      <c r="D277" s="51"/>
      <c r="E277" s="51"/>
      <c r="F277" s="55"/>
      <c r="G277" s="56"/>
      <c r="H277" s="57"/>
      <c r="I277" s="51"/>
      <c r="J277" s="51"/>
      <c r="K277" s="58"/>
      <c r="L277" s="59"/>
      <c r="M277" s="58"/>
      <c r="N277" s="58"/>
      <c r="O277" s="51"/>
      <c r="P277" s="51"/>
      <c r="Q277" s="37"/>
      <c r="R277" s="70"/>
      <c r="S277" s="70"/>
      <c r="T277" s="70"/>
      <c r="U277" s="71"/>
      <c r="V277" s="73"/>
      <c r="W277" s="75"/>
      <c r="X277" s="117"/>
      <c r="Y277" s="111"/>
      <c r="Z277" s="111"/>
      <c r="AH277" s="18"/>
      <c r="AI277" s="18"/>
    </row>
    <row r="278" spans="1:35">
      <c r="A278" s="51"/>
      <c r="B278" s="51"/>
      <c r="C278" s="51"/>
      <c r="D278" s="51"/>
      <c r="E278" s="51"/>
      <c r="F278" s="55"/>
      <c r="G278" s="56"/>
      <c r="H278" s="57"/>
      <c r="I278" s="51"/>
      <c r="J278" s="51"/>
      <c r="K278" s="58"/>
      <c r="L278" s="59"/>
      <c r="M278" s="58"/>
      <c r="N278" s="58"/>
      <c r="O278" s="51"/>
      <c r="P278" s="51"/>
      <c r="Q278" s="37"/>
      <c r="R278" s="70"/>
      <c r="S278" s="70"/>
      <c r="T278" s="70"/>
      <c r="U278" s="71"/>
      <c r="V278" s="73"/>
      <c r="W278" s="75"/>
      <c r="X278" s="117"/>
      <c r="Y278" s="111"/>
      <c r="Z278" s="111"/>
      <c r="AH278" s="18"/>
      <c r="AI278" s="18"/>
    </row>
    <row r="279" spans="1:35">
      <c r="A279" s="51"/>
      <c r="B279" s="51"/>
      <c r="C279" s="51"/>
      <c r="D279" s="51"/>
      <c r="E279" s="51"/>
      <c r="F279" s="55"/>
      <c r="G279" s="56"/>
      <c r="H279" s="57"/>
      <c r="I279" s="51"/>
      <c r="J279" s="51"/>
      <c r="K279" s="58"/>
      <c r="L279" s="59"/>
      <c r="M279" s="58"/>
      <c r="N279" s="58"/>
      <c r="O279" s="51"/>
      <c r="P279" s="51"/>
      <c r="Q279" s="37"/>
      <c r="R279" s="70"/>
      <c r="S279" s="70"/>
      <c r="T279" s="70"/>
      <c r="U279" s="71"/>
      <c r="V279" s="73"/>
      <c r="W279" s="75"/>
      <c r="X279" s="117"/>
      <c r="Y279" s="111"/>
      <c r="Z279" s="111"/>
      <c r="AH279" s="18"/>
      <c r="AI279" s="18"/>
    </row>
    <row r="280" spans="1:35">
      <c r="A280" s="51"/>
      <c r="B280" s="51"/>
      <c r="C280" s="51"/>
      <c r="D280" s="51"/>
      <c r="E280" s="51"/>
      <c r="F280" s="55"/>
      <c r="G280" s="56"/>
      <c r="H280" s="57"/>
      <c r="I280" s="51"/>
      <c r="J280" s="51"/>
      <c r="K280" s="58"/>
      <c r="L280" s="59"/>
      <c r="M280" s="58"/>
      <c r="N280" s="58"/>
      <c r="O280" s="51"/>
      <c r="P280" s="51"/>
      <c r="Q280" s="37"/>
      <c r="R280" s="70"/>
      <c r="S280" s="70"/>
      <c r="T280" s="70"/>
      <c r="U280" s="71"/>
      <c r="V280" s="73"/>
      <c r="W280" s="75"/>
      <c r="X280" s="117"/>
      <c r="Y280" s="111"/>
      <c r="Z280" s="111"/>
      <c r="AH280" s="18"/>
      <c r="AI280" s="18"/>
    </row>
    <row r="281" spans="1:35">
      <c r="A281" s="51"/>
      <c r="B281" s="51"/>
      <c r="C281" s="51"/>
      <c r="D281" s="51"/>
      <c r="E281" s="51"/>
      <c r="F281" s="55"/>
      <c r="G281" s="56"/>
      <c r="H281" s="57"/>
      <c r="I281" s="51"/>
      <c r="J281" s="51"/>
      <c r="K281" s="58"/>
      <c r="L281" s="59"/>
      <c r="M281" s="58"/>
      <c r="N281" s="58"/>
      <c r="O281" s="51"/>
      <c r="P281" s="51"/>
      <c r="Q281" s="37"/>
      <c r="R281" s="70"/>
      <c r="S281" s="70"/>
      <c r="T281" s="70"/>
      <c r="U281" s="71"/>
      <c r="V281" s="73"/>
      <c r="W281" s="75"/>
      <c r="X281" s="117"/>
      <c r="Y281" s="111"/>
      <c r="Z281" s="111"/>
      <c r="AH281" s="18"/>
      <c r="AI281" s="18"/>
    </row>
    <row r="282" spans="1:35">
      <c r="A282" s="51"/>
      <c r="B282" s="51"/>
      <c r="C282" s="51"/>
      <c r="D282" s="51"/>
      <c r="E282" s="51"/>
      <c r="F282" s="55"/>
      <c r="G282" s="56"/>
      <c r="H282" s="57"/>
      <c r="I282" s="51"/>
      <c r="J282" s="51"/>
      <c r="K282" s="58"/>
      <c r="L282" s="59"/>
      <c r="M282" s="58"/>
      <c r="N282" s="58"/>
      <c r="O282" s="51"/>
      <c r="P282" s="51"/>
      <c r="Q282" s="37"/>
      <c r="R282" s="70"/>
      <c r="S282" s="70"/>
      <c r="T282" s="70"/>
      <c r="U282" s="71"/>
      <c r="V282" s="73"/>
      <c r="W282" s="75"/>
      <c r="X282" s="117"/>
      <c r="Y282" s="111"/>
      <c r="Z282" s="111"/>
      <c r="AH282" s="18"/>
      <c r="AI282" s="18"/>
    </row>
    <row r="283" spans="1:35">
      <c r="A283" s="51"/>
      <c r="B283" s="51"/>
      <c r="C283" s="51"/>
      <c r="D283" s="51"/>
      <c r="E283" s="51"/>
      <c r="F283" s="55"/>
      <c r="G283" s="56"/>
      <c r="H283" s="57"/>
      <c r="I283" s="51"/>
      <c r="J283" s="51"/>
      <c r="K283" s="58"/>
      <c r="L283" s="59"/>
      <c r="M283" s="58"/>
      <c r="N283" s="58"/>
      <c r="O283" s="51"/>
      <c r="P283" s="51"/>
      <c r="Q283" s="37"/>
      <c r="R283" s="70"/>
      <c r="S283" s="70"/>
      <c r="T283" s="70"/>
      <c r="U283" s="71"/>
      <c r="V283" s="73"/>
      <c r="W283" s="75"/>
      <c r="X283" s="117"/>
      <c r="Y283" s="111"/>
      <c r="Z283" s="111"/>
      <c r="AH283" s="18"/>
      <c r="AI283" s="18"/>
    </row>
    <row r="284" spans="1:35">
      <c r="A284" s="51"/>
      <c r="B284" s="51"/>
      <c r="C284" s="51"/>
      <c r="D284" s="51"/>
      <c r="E284" s="51"/>
      <c r="F284" s="55"/>
      <c r="G284" s="56"/>
      <c r="H284" s="57"/>
      <c r="I284" s="51"/>
      <c r="J284" s="51"/>
      <c r="K284" s="58"/>
      <c r="L284" s="59"/>
      <c r="M284" s="58"/>
      <c r="N284" s="58"/>
      <c r="O284" s="51"/>
      <c r="P284" s="51"/>
      <c r="Q284" s="37"/>
      <c r="R284" s="70"/>
      <c r="S284" s="70"/>
      <c r="T284" s="70"/>
      <c r="U284" s="71"/>
      <c r="V284" s="73"/>
      <c r="W284" s="75"/>
      <c r="X284" s="117"/>
      <c r="Y284" s="111"/>
      <c r="Z284" s="111"/>
      <c r="AH284" s="18"/>
      <c r="AI284" s="18"/>
    </row>
    <row r="285" spans="1:35">
      <c r="A285" s="51"/>
      <c r="B285" s="51"/>
      <c r="C285" s="51"/>
      <c r="D285" s="51"/>
      <c r="E285" s="51"/>
      <c r="F285" s="55"/>
      <c r="G285" s="56"/>
      <c r="H285" s="57"/>
      <c r="I285" s="51"/>
      <c r="J285" s="51"/>
      <c r="K285" s="58"/>
      <c r="L285" s="59"/>
      <c r="M285" s="58"/>
      <c r="N285" s="58"/>
      <c r="O285" s="51"/>
      <c r="P285" s="51"/>
      <c r="Q285" s="37"/>
      <c r="R285" s="70"/>
      <c r="S285" s="70"/>
      <c r="T285" s="70"/>
      <c r="U285" s="71"/>
      <c r="V285" s="73"/>
      <c r="W285" s="75"/>
      <c r="X285" s="117"/>
      <c r="Y285" s="111"/>
      <c r="Z285" s="111"/>
      <c r="AH285" s="18"/>
      <c r="AI285" s="18"/>
    </row>
    <row r="286" spans="1:35">
      <c r="A286" s="51"/>
      <c r="B286" s="51"/>
      <c r="C286" s="51"/>
      <c r="D286" s="51"/>
      <c r="E286" s="51"/>
      <c r="F286" s="55"/>
      <c r="G286" s="56"/>
      <c r="H286" s="57"/>
      <c r="I286" s="51"/>
      <c r="J286" s="51"/>
      <c r="K286" s="58"/>
      <c r="L286" s="59"/>
      <c r="M286" s="58"/>
      <c r="N286" s="58"/>
      <c r="O286" s="51"/>
      <c r="P286" s="51"/>
      <c r="Q286" s="37"/>
      <c r="R286" s="70"/>
      <c r="S286" s="70"/>
      <c r="T286" s="70"/>
      <c r="U286" s="71"/>
      <c r="V286" s="73"/>
      <c r="W286" s="75"/>
      <c r="X286" s="117"/>
      <c r="Y286" s="111"/>
      <c r="Z286" s="111"/>
      <c r="AH286" s="18"/>
      <c r="AI286" s="18"/>
    </row>
    <row r="287" spans="1:35">
      <c r="A287" s="51"/>
      <c r="B287" s="51"/>
      <c r="C287" s="51"/>
      <c r="D287" s="51"/>
      <c r="E287" s="51"/>
      <c r="F287" s="55"/>
      <c r="G287" s="56"/>
      <c r="H287" s="57"/>
      <c r="I287" s="51"/>
      <c r="J287" s="51"/>
      <c r="K287" s="58"/>
      <c r="L287" s="59"/>
      <c r="M287" s="58"/>
      <c r="N287" s="58"/>
      <c r="O287" s="51"/>
      <c r="P287" s="51"/>
      <c r="Q287" s="37"/>
      <c r="R287" s="70"/>
      <c r="S287" s="70"/>
      <c r="T287" s="70"/>
      <c r="U287" s="71"/>
      <c r="V287" s="73"/>
      <c r="W287" s="75"/>
      <c r="X287" s="117"/>
      <c r="Y287" s="111"/>
      <c r="Z287" s="111"/>
      <c r="AH287" s="18"/>
      <c r="AI287" s="18"/>
    </row>
    <row r="288" spans="1:35">
      <c r="A288" s="51"/>
      <c r="B288" s="51"/>
      <c r="C288" s="51"/>
      <c r="D288" s="51"/>
      <c r="E288" s="51"/>
      <c r="F288" s="55"/>
      <c r="G288" s="56"/>
      <c r="H288" s="57"/>
      <c r="I288" s="51"/>
      <c r="J288" s="51"/>
      <c r="K288" s="58"/>
      <c r="L288" s="59"/>
      <c r="M288" s="58"/>
      <c r="N288" s="58"/>
      <c r="O288" s="51"/>
      <c r="P288" s="51"/>
      <c r="Q288" s="37"/>
      <c r="R288" s="70"/>
      <c r="S288" s="70"/>
      <c r="T288" s="70"/>
      <c r="U288" s="71"/>
      <c r="V288" s="73"/>
      <c r="W288" s="75"/>
      <c r="X288" s="117"/>
      <c r="Y288" s="111"/>
      <c r="Z288" s="111"/>
      <c r="AH288" s="18"/>
      <c r="AI288" s="18"/>
    </row>
    <row r="289" spans="1:35">
      <c r="A289" s="51"/>
      <c r="B289" s="51"/>
      <c r="C289" s="51"/>
      <c r="D289" s="51"/>
      <c r="E289" s="51"/>
      <c r="F289" s="55"/>
      <c r="G289" s="56"/>
      <c r="H289" s="57"/>
      <c r="I289" s="51"/>
      <c r="J289" s="51"/>
      <c r="K289" s="58"/>
      <c r="L289" s="59"/>
      <c r="M289" s="58"/>
      <c r="N289" s="58"/>
      <c r="O289" s="51"/>
      <c r="P289" s="51"/>
      <c r="Q289" s="37"/>
      <c r="R289" s="70"/>
      <c r="S289" s="70"/>
      <c r="T289" s="70"/>
      <c r="U289" s="71"/>
      <c r="V289" s="73"/>
      <c r="W289" s="75"/>
      <c r="X289" s="117"/>
      <c r="Y289" s="111"/>
      <c r="Z289" s="111"/>
      <c r="AH289" s="18"/>
      <c r="AI289" s="18"/>
    </row>
    <row r="290" spans="1:35">
      <c r="A290" s="51"/>
      <c r="B290" s="51"/>
      <c r="C290" s="51"/>
      <c r="D290" s="51"/>
      <c r="E290" s="51"/>
      <c r="F290" s="55"/>
      <c r="G290" s="56"/>
      <c r="H290" s="57"/>
      <c r="I290" s="51"/>
      <c r="J290" s="51"/>
      <c r="K290" s="58"/>
      <c r="L290" s="59"/>
      <c r="M290" s="58"/>
      <c r="N290" s="58"/>
      <c r="O290" s="51"/>
      <c r="P290" s="51"/>
      <c r="Q290" s="37"/>
      <c r="R290" s="70"/>
      <c r="S290" s="70"/>
      <c r="T290" s="70"/>
      <c r="U290" s="71"/>
      <c r="V290" s="73"/>
      <c r="W290" s="75"/>
      <c r="X290" s="117"/>
      <c r="Y290" s="111"/>
      <c r="Z290" s="111"/>
      <c r="AH290" s="18"/>
      <c r="AI290" s="18"/>
    </row>
    <row r="291" spans="1:35">
      <c r="A291" s="51"/>
      <c r="B291" s="51"/>
      <c r="C291" s="51"/>
      <c r="D291" s="51"/>
      <c r="E291" s="51"/>
      <c r="F291" s="55"/>
      <c r="G291" s="56"/>
      <c r="H291" s="57"/>
      <c r="I291" s="51"/>
      <c r="J291" s="51"/>
      <c r="K291" s="58"/>
      <c r="L291" s="59"/>
      <c r="M291" s="58"/>
      <c r="N291" s="58"/>
      <c r="O291" s="51"/>
      <c r="P291" s="51"/>
      <c r="Q291" s="37"/>
      <c r="R291" s="70"/>
      <c r="S291" s="70"/>
      <c r="T291" s="70"/>
      <c r="U291" s="71"/>
      <c r="V291" s="73"/>
      <c r="W291" s="75"/>
      <c r="X291" s="117"/>
      <c r="Y291" s="111"/>
      <c r="Z291" s="111"/>
      <c r="AH291" s="18"/>
      <c r="AI291" s="18"/>
    </row>
    <row r="292" spans="1:35">
      <c r="A292" s="51"/>
      <c r="B292" s="51"/>
      <c r="C292" s="51"/>
      <c r="D292" s="51"/>
      <c r="E292" s="51"/>
      <c r="F292" s="55"/>
      <c r="G292" s="56"/>
      <c r="H292" s="57"/>
      <c r="I292" s="51"/>
      <c r="J292" s="51"/>
      <c r="K292" s="58"/>
      <c r="L292" s="59"/>
      <c r="M292" s="58"/>
      <c r="N292" s="58"/>
      <c r="O292" s="51"/>
      <c r="P292" s="51"/>
      <c r="Q292" s="37"/>
      <c r="R292" s="70"/>
      <c r="S292" s="70"/>
      <c r="T292" s="70"/>
      <c r="U292" s="71"/>
      <c r="V292" s="73"/>
      <c r="W292" s="75"/>
      <c r="X292" s="117"/>
      <c r="Y292" s="111"/>
      <c r="Z292" s="111"/>
      <c r="AH292" s="18"/>
      <c r="AI292" s="18"/>
    </row>
    <row r="293" spans="1:35">
      <c r="A293" s="51"/>
      <c r="B293" s="51"/>
      <c r="C293" s="51"/>
      <c r="D293" s="51"/>
      <c r="E293" s="51"/>
      <c r="F293" s="55"/>
      <c r="G293" s="56"/>
      <c r="H293" s="57"/>
      <c r="I293" s="51"/>
      <c r="J293" s="51"/>
      <c r="K293" s="58"/>
      <c r="L293" s="59"/>
      <c r="M293" s="58"/>
      <c r="N293" s="58"/>
      <c r="O293" s="51"/>
      <c r="P293" s="51"/>
      <c r="Q293" s="37"/>
      <c r="R293" s="70"/>
      <c r="S293" s="70"/>
      <c r="T293" s="70"/>
      <c r="U293" s="71"/>
      <c r="V293" s="73"/>
      <c r="W293" s="75"/>
      <c r="X293" s="117"/>
      <c r="Y293" s="111"/>
      <c r="Z293" s="111"/>
      <c r="AH293" s="18"/>
      <c r="AI293" s="18"/>
    </row>
    <row r="294" spans="1:35">
      <c r="A294" s="51"/>
      <c r="B294" s="51"/>
      <c r="C294" s="51"/>
      <c r="D294" s="51"/>
      <c r="E294" s="51"/>
      <c r="F294" s="55"/>
      <c r="G294" s="56"/>
      <c r="H294" s="57"/>
      <c r="I294" s="51"/>
      <c r="J294" s="51"/>
      <c r="K294" s="58"/>
      <c r="L294" s="59"/>
      <c r="M294" s="58"/>
      <c r="N294" s="58"/>
      <c r="O294" s="51"/>
      <c r="P294" s="51"/>
      <c r="Q294" s="37"/>
      <c r="R294" s="70"/>
      <c r="S294" s="70"/>
      <c r="T294" s="70"/>
      <c r="U294" s="71"/>
      <c r="V294" s="73"/>
      <c r="W294" s="75"/>
      <c r="X294" s="117"/>
      <c r="Y294" s="111"/>
      <c r="Z294" s="111"/>
      <c r="AH294" s="18"/>
      <c r="AI294" s="18"/>
    </row>
    <row r="295" spans="1:35">
      <c r="A295" s="51"/>
      <c r="B295" s="51"/>
      <c r="C295" s="51"/>
      <c r="D295" s="51"/>
      <c r="E295" s="51"/>
      <c r="F295" s="55"/>
      <c r="G295" s="56"/>
      <c r="H295" s="57"/>
      <c r="I295" s="51"/>
      <c r="J295" s="51"/>
      <c r="K295" s="58"/>
      <c r="L295" s="59"/>
      <c r="M295" s="58"/>
      <c r="N295" s="58"/>
      <c r="O295" s="51"/>
      <c r="P295" s="51"/>
      <c r="Q295" s="37"/>
      <c r="R295" s="70"/>
      <c r="S295" s="70"/>
      <c r="T295" s="70"/>
      <c r="U295" s="71"/>
      <c r="V295" s="73"/>
      <c r="W295" s="75"/>
      <c r="X295" s="117"/>
      <c r="Y295" s="111"/>
      <c r="Z295" s="111"/>
      <c r="AH295" s="18"/>
      <c r="AI295" s="18"/>
    </row>
    <row r="296" spans="1:35">
      <c r="A296" s="51"/>
      <c r="B296" s="51"/>
      <c r="C296" s="51"/>
      <c r="D296" s="51"/>
      <c r="E296" s="51"/>
      <c r="F296" s="55"/>
      <c r="G296" s="56"/>
      <c r="H296" s="57"/>
      <c r="I296" s="51"/>
      <c r="J296" s="51"/>
      <c r="K296" s="58"/>
      <c r="L296" s="59"/>
      <c r="M296" s="58"/>
      <c r="N296" s="58"/>
      <c r="O296" s="51"/>
      <c r="P296" s="51"/>
      <c r="Q296" s="37"/>
      <c r="R296" s="70"/>
      <c r="S296" s="70"/>
      <c r="T296" s="70"/>
      <c r="U296" s="71"/>
      <c r="V296" s="73"/>
      <c r="W296" s="75"/>
      <c r="X296" s="117"/>
      <c r="Y296" s="111"/>
      <c r="Z296" s="111"/>
      <c r="AH296" s="18"/>
      <c r="AI296" s="18"/>
    </row>
    <row r="297" spans="1:35">
      <c r="A297" s="51"/>
      <c r="B297" s="51"/>
      <c r="C297" s="51"/>
      <c r="D297" s="51"/>
      <c r="E297" s="51"/>
      <c r="F297" s="55"/>
      <c r="G297" s="56"/>
      <c r="H297" s="57"/>
      <c r="I297" s="51"/>
      <c r="J297" s="51"/>
      <c r="K297" s="58"/>
      <c r="L297" s="59"/>
      <c r="M297" s="58"/>
      <c r="N297" s="58"/>
      <c r="O297" s="51"/>
      <c r="P297" s="51"/>
      <c r="Q297" s="37"/>
      <c r="R297" s="70"/>
      <c r="S297" s="70"/>
      <c r="T297" s="70"/>
      <c r="U297" s="71"/>
      <c r="V297" s="73"/>
      <c r="W297" s="75"/>
      <c r="X297" s="117"/>
      <c r="Y297" s="111"/>
      <c r="Z297" s="111"/>
      <c r="AH297" s="18"/>
      <c r="AI297" s="18"/>
    </row>
    <row r="298" spans="1:35">
      <c r="A298" s="51"/>
      <c r="B298" s="51"/>
      <c r="C298" s="51"/>
      <c r="D298" s="51"/>
      <c r="E298" s="51"/>
      <c r="F298" s="55"/>
      <c r="G298" s="56"/>
      <c r="H298" s="57"/>
      <c r="I298" s="51"/>
      <c r="J298" s="51"/>
      <c r="K298" s="58"/>
      <c r="L298" s="59"/>
      <c r="M298" s="58"/>
      <c r="N298" s="58"/>
      <c r="O298" s="51"/>
      <c r="P298" s="51"/>
      <c r="Q298" s="37"/>
      <c r="R298" s="70"/>
      <c r="S298" s="70"/>
      <c r="T298" s="70"/>
      <c r="U298" s="71"/>
      <c r="V298" s="73"/>
      <c r="W298" s="75"/>
      <c r="X298" s="117"/>
      <c r="Y298" s="111"/>
      <c r="Z298" s="111"/>
      <c r="AH298" s="18"/>
      <c r="AI298" s="18"/>
    </row>
    <row r="299" spans="1:35">
      <c r="A299" s="51"/>
      <c r="B299" s="51"/>
      <c r="C299" s="51"/>
      <c r="D299" s="51"/>
      <c r="E299" s="51"/>
      <c r="F299" s="55"/>
      <c r="G299" s="56"/>
      <c r="H299" s="57"/>
      <c r="I299" s="51"/>
      <c r="J299" s="51"/>
      <c r="K299" s="58"/>
      <c r="L299" s="59"/>
      <c r="M299" s="58"/>
      <c r="N299" s="58"/>
      <c r="O299" s="51"/>
      <c r="P299" s="51"/>
      <c r="Q299" s="37"/>
      <c r="R299" s="70"/>
      <c r="S299" s="70"/>
      <c r="T299" s="70"/>
      <c r="U299" s="71"/>
      <c r="V299" s="73"/>
      <c r="W299" s="75"/>
      <c r="X299" s="117"/>
      <c r="Y299" s="111"/>
      <c r="Z299" s="111"/>
      <c r="AH299" s="18"/>
      <c r="AI299" s="18"/>
    </row>
    <row r="300" spans="1:35">
      <c r="A300" s="51"/>
      <c r="B300" s="51"/>
      <c r="C300" s="51"/>
      <c r="D300" s="51"/>
      <c r="E300" s="51"/>
      <c r="F300" s="55"/>
      <c r="G300" s="56"/>
      <c r="H300" s="57"/>
      <c r="I300" s="51"/>
      <c r="J300" s="51"/>
      <c r="K300" s="58"/>
      <c r="L300" s="59"/>
      <c r="M300" s="58"/>
      <c r="N300" s="58"/>
      <c r="O300" s="51"/>
      <c r="P300" s="51"/>
      <c r="Q300" s="37"/>
      <c r="R300" s="70"/>
      <c r="S300" s="70"/>
      <c r="T300" s="70"/>
      <c r="U300" s="71"/>
      <c r="V300" s="73"/>
      <c r="W300" s="75"/>
      <c r="X300" s="117"/>
      <c r="Y300" s="111"/>
      <c r="Z300" s="111"/>
      <c r="AH300" s="18"/>
      <c r="AI300" s="18"/>
    </row>
    <row r="301" spans="1:35">
      <c r="A301" s="51"/>
      <c r="B301" s="51"/>
      <c r="C301" s="51"/>
      <c r="D301" s="51"/>
      <c r="E301" s="51"/>
      <c r="F301" s="55"/>
      <c r="G301" s="56"/>
      <c r="H301" s="57"/>
      <c r="I301" s="51"/>
      <c r="J301" s="51"/>
      <c r="K301" s="58"/>
      <c r="L301" s="59"/>
      <c r="M301" s="58"/>
      <c r="N301" s="58"/>
      <c r="O301" s="51"/>
      <c r="P301" s="51"/>
      <c r="Q301" s="37"/>
      <c r="R301" s="70"/>
      <c r="S301" s="70"/>
      <c r="T301" s="70"/>
      <c r="U301" s="71"/>
      <c r="V301" s="73"/>
      <c r="W301" s="75"/>
      <c r="X301" s="117"/>
      <c r="Y301" s="111"/>
      <c r="Z301" s="111"/>
      <c r="AH301" s="18"/>
      <c r="AI301" s="18"/>
    </row>
    <row r="302" spans="1:35">
      <c r="A302" s="51"/>
      <c r="B302" s="51"/>
      <c r="C302" s="51"/>
      <c r="D302" s="51"/>
      <c r="E302" s="51"/>
      <c r="F302" s="55"/>
      <c r="G302" s="56"/>
      <c r="H302" s="57"/>
      <c r="I302" s="51"/>
      <c r="J302" s="51"/>
      <c r="K302" s="58"/>
      <c r="L302" s="59"/>
      <c r="M302" s="58"/>
      <c r="N302" s="58"/>
      <c r="O302" s="51"/>
      <c r="P302" s="51"/>
      <c r="Q302" s="37"/>
      <c r="R302" s="70"/>
      <c r="S302" s="70"/>
      <c r="T302" s="70"/>
      <c r="U302" s="71"/>
      <c r="V302" s="73"/>
      <c r="W302" s="75"/>
      <c r="X302" s="117"/>
      <c r="Y302" s="111"/>
      <c r="Z302" s="111"/>
      <c r="AH302" s="18"/>
      <c r="AI302" s="18"/>
    </row>
    <row r="303" spans="1:35">
      <c r="A303" s="51"/>
      <c r="B303" s="51"/>
      <c r="C303" s="51"/>
      <c r="D303" s="51"/>
      <c r="E303" s="51"/>
      <c r="F303" s="55"/>
      <c r="G303" s="56"/>
      <c r="H303" s="57"/>
      <c r="I303" s="51"/>
      <c r="J303" s="51"/>
      <c r="K303" s="58"/>
      <c r="L303" s="59"/>
      <c r="M303" s="58"/>
      <c r="N303" s="58"/>
      <c r="O303" s="51"/>
      <c r="P303" s="51"/>
      <c r="Q303" s="37"/>
      <c r="R303" s="70"/>
      <c r="S303" s="70"/>
      <c r="T303" s="70"/>
      <c r="U303" s="71"/>
      <c r="V303" s="73"/>
      <c r="W303" s="75"/>
      <c r="X303" s="117"/>
      <c r="Y303" s="111"/>
      <c r="Z303" s="111"/>
      <c r="AH303" s="18"/>
      <c r="AI303" s="18"/>
    </row>
    <row r="304" spans="1:35">
      <c r="A304" s="51"/>
      <c r="B304" s="51"/>
      <c r="C304" s="51"/>
      <c r="D304" s="51"/>
      <c r="E304" s="51"/>
      <c r="F304" s="55"/>
      <c r="G304" s="56"/>
      <c r="H304" s="57"/>
      <c r="I304" s="51"/>
      <c r="J304" s="51"/>
      <c r="K304" s="58"/>
      <c r="L304" s="59"/>
      <c r="M304" s="58"/>
      <c r="N304" s="58"/>
      <c r="O304" s="51"/>
      <c r="P304" s="51"/>
      <c r="Q304" s="37"/>
      <c r="R304" s="70"/>
      <c r="S304" s="70"/>
      <c r="T304" s="70"/>
      <c r="U304" s="71"/>
      <c r="V304" s="73"/>
      <c r="W304" s="75"/>
      <c r="X304" s="117"/>
      <c r="Y304" s="111"/>
      <c r="Z304" s="111"/>
      <c r="AH304" s="18"/>
      <c r="AI304" s="18"/>
    </row>
    <row r="305" spans="1:35">
      <c r="A305" s="51"/>
      <c r="B305" s="51"/>
      <c r="C305" s="51"/>
      <c r="D305" s="51"/>
      <c r="E305" s="51"/>
      <c r="F305" s="55"/>
      <c r="G305" s="56"/>
      <c r="H305" s="57"/>
      <c r="I305" s="51"/>
      <c r="J305" s="51"/>
      <c r="K305" s="58"/>
      <c r="L305" s="59"/>
      <c r="M305" s="58"/>
      <c r="N305" s="58"/>
      <c r="O305" s="51"/>
      <c r="P305" s="51"/>
      <c r="Q305" s="37"/>
      <c r="R305" s="70"/>
      <c r="S305" s="70"/>
      <c r="T305" s="70"/>
      <c r="U305" s="71"/>
      <c r="V305" s="73"/>
      <c r="W305" s="75"/>
      <c r="X305" s="117"/>
      <c r="Y305" s="111"/>
      <c r="Z305" s="111"/>
      <c r="AH305" s="18"/>
      <c r="AI305" s="18"/>
    </row>
    <row r="306" spans="1:35">
      <c r="A306" s="51"/>
      <c r="B306" s="51"/>
      <c r="C306" s="51"/>
      <c r="D306" s="51"/>
      <c r="E306" s="51"/>
      <c r="F306" s="55"/>
      <c r="G306" s="56"/>
      <c r="H306" s="57"/>
      <c r="I306" s="51"/>
      <c r="J306" s="51"/>
      <c r="K306" s="58"/>
      <c r="L306" s="59"/>
      <c r="M306" s="58"/>
      <c r="N306" s="58"/>
      <c r="O306" s="51"/>
      <c r="P306" s="51"/>
      <c r="Q306" s="37"/>
      <c r="R306" s="70"/>
      <c r="S306" s="70"/>
      <c r="T306" s="70"/>
      <c r="U306" s="71"/>
      <c r="V306" s="73"/>
      <c r="W306" s="75"/>
      <c r="X306" s="117"/>
      <c r="Y306" s="111"/>
      <c r="Z306" s="111"/>
      <c r="AH306" s="18"/>
      <c r="AI306" s="18"/>
    </row>
    <row r="307" spans="1:35">
      <c r="A307" s="51"/>
      <c r="B307" s="51"/>
      <c r="C307" s="51"/>
      <c r="D307" s="51"/>
      <c r="E307" s="51"/>
      <c r="F307" s="55"/>
      <c r="G307" s="56"/>
      <c r="H307" s="57"/>
      <c r="I307" s="51"/>
      <c r="J307" s="51"/>
      <c r="K307" s="58"/>
      <c r="L307" s="59"/>
      <c r="M307" s="58"/>
      <c r="N307" s="58"/>
      <c r="O307" s="51"/>
      <c r="P307" s="51"/>
      <c r="Q307" s="37"/>
      <c r="R307" s="70"/>
      <c r="S307" s="70"/>
      <c r="T307" s="70"/>
      <c r="U307" s="71"/>
      <c r="V307" s="73"/>
      <c r="W307" s="75"/>
      <c r="X307" s="117"/>
      <c r="Y307" s="111"/>
      <c r="Z307" s="111"/>
      <c r="AH307" s="18"/>
      <c r="AI307" s="18"/>
    </row>
    <row r="308" spans="1:35">
      <c r="A308" s="51"/>
      <c r="B308" s="51"/>
      <c r="C308" s="51"/>
      <c r="D308" s="51"/>
      <c r="E308" s="51"/>
      <c r="F308" s="55"/>
      <c r="G308" s="56"/>
      <c r="H308" s="57"/>
      <c r="I308" s="51"/>
      <c r="J308" s="51"/>
      <c r="K308" s="58"/>
      <c r="L308" s="59"/>
      <c r="M308" s="58"/>
      <c r="N308" s="58"/>
      <c r="O308" s="51"/>
      <c r="P308" s="51"/>
      <c r="Q308" s="37"/>
      <c r="R308" s="70"/>
      <c r="S308" s="70"/>
      <c r="T308" s="70"/>
      <c r="U308" s="71"/>
      <c r="V308" s="73"/>
      <c r="W308" s="75"/>
      <c r="X308" s="117"/>
      <c r="Y308" s="111"/>
      <c r="Z308" s="111"/>
      <c r="AH308" s="18"/>
      <c r="AI308" s="18"/>
    </row>
    <row r="309" spans="1:35">
      <c r="A309" s="51"/>
      <c r="B309" s="51"/>
      <c r="C309" s="51"/>
      <c r="D309" s="51"/>
      <c r="E309" s="51"/>
      <c r="F309" s="55"/>
      <c r="G309" s="56"/>
      <c r="H309" s="57"/>
      <c r="I309" s="51"/>
      <c r="J309" s="51"/>
      <c r="K309" s="58"/>
      <c r="L309" s="59"/>
      <c r="M309" s="58"/>
      <c r="N309" s="58"/>
      <c r="O309" s="51"/>
      <c r="P309" s="51"/>
      <c r="Q309" s="37"/>
      <c r="R309" s="70"/>
      <c r="S309" s="70"/>
      <c r="T309" s="70"/>
      <c r="U309" s="71"/>
      <c r="V309" s="73"/>
      <c r="W309" s="75"/>
      <c r="X309" s="117"/>
      <c r="Y309" s="111"/>
      <c r="Z309" s="111"/>
      <c r="AH309" s="18"/>
      <c r="AI309" s="18"/>
    </row>
    <row r="310" spans="1:35">
      <c r="A310" s="51"/>
      <c r="B310" s="51"/>
      <c r="C310" s="51"/>
      <c r="D310" s="51"/>
      <c r="E310" s="51"/>
      <c r="F310" s="55"/>
      <c r="G310" s="56"/>
      <c r="H310" s="57"/>
      <c r="I310" s="51"/>
      <c r="J310" s="51"/>
      <c r="K310" s="58"/>
      <c r="L310" s="59"/>
      <c r="M310" s="58"/>
      <c r="N310" s="58"/>
      <c r="O310" s="51"/>
      <c r="P310" s="51"/>
      <c r="Q310" s="37"/>
      <c r="R310" s="70"/>
      <c r="S310" s="70"/>
      <c r="T310" s="70"/>
      <c r="U310" s="71"/>
      <c r="V310" s="73"/>
      <c r="W310" s="75"/>
      <c r="X310" s="117"/>
      <c r="Y310" s="111"/>
      <c r="Z310" s="111"/>
      <c r="AH310" s="18"/>
      <c r="AI310" s="18"/>
    </row>
    <row r="311" spans="1:35">
      <c r="A311" s="51"/>
      <c r="B311" s="51"/>
      <c r="C311" s="51"/>
      <c r="D311" s="51"/>
      <c r="E311" s="51"/>
      <c r="F311" s="55"/>
      <c r="G311" s="56"/>
      <c r="H311" s="57"/>
      <c r="I311" s="51"/>
      <c r="J311" s="51"/>
      <c r="K311" s="58"/>
      <c r="L311" s="59"/>
      <c r="M311" s="58"/>
      <c r="N311" s="58"/>
      <c r="O311" s="51"/>
      <c r="P311" s="51"/>
      <c r="Q311" s="37"/>
      <c r="R311" s="70"/>
      <c r="S311" s="70"/>
      <c r="T311" s="70"/>
      <c r="U311" s="71"/>
      <c r="V311" s="73"/>
      <c r="W311" s="75"/>
      <c r="X311" s="117"/>
      <c r="Y311" s="111"/>
      <c r="Z311" s="111"/>
      <c r="AH311" s="18"/>
      <c r="AI311" s="18"/>
    </row>
    <row r="312" spans="1:35">
      <c r="A312" s="51"/>
      <c r="B312" s="51"/>
      <c r="C312" s="51"/>
      <c r="D312" s="51"/>
      <c r="E312" s="51"/>
      <c r="F312" s="55"/>
      <c r="G312" s="56"/>
      <c r="H312" s="57"/>
      <c r="I312" s="51"/>
      <c r="J312" s="51"/>
      <c r="K312" s="58"/>
      <c r="L312" s="59"/>
      <c r="M312" s="58"/>
      <c r="N312" s="58"/>
      <c r="O312" s="51"/>
      <c r="P312" s="51"/>
      <c r="Q312" s="37"/>
      <c r="R312" s="70"/>
      <c r="S312" s="70"/>
      <c r="T312" s="70"/>
      <c r="U312" s="71"/>
      <c r="V312" s="73"/>
      <c r="W312" s="75"/>
      <c r="X312" s="117"/>
      <c r="Y312" s="111"/>
      <c r="Z312" s="111"/>
      <c r="AH312" s="18"/>
      <c r="AI312" s="18"/>
    </row>
    <row r="313" spans="1:35">
      <c r="A313" s="51"/>
      <c r="B313" s="51"/>
      <c r="C313" s="51"/>
      <c r="D313" s="51"/>
      <c r="E313" s="51"/>
      <c r="F313" s="55"/>
      <c r="G313" s="56"/>
      <c r="H313" s="57"/>
      <c r="I313" s="51"/>
      <c r="J313" s="51"/>
      <c r="K313" s="58"/>
      <c r="L313" s="59"/>
      <c r="M313" s="58"/>
      <c r="N313" s="58"/>
      <c r="O313" s="51"/>
      <c r="P313" s="51"/>
      <c r="Q313" s="37"/>
      <c r="R313" s="70"/>
      <c r="S313" s="70"/>
      <c r="T313" s="70"/>
      <c r="U313" s="71"/>
      <c r="V313" s="73"/>
      <c r="W313" s="75"/>
      <c r="X313" s="117"/>
      <c r="Y313" s="111"/>
      <c r="Z313" s="111"/>
      <c r="AH313" s="18"/>
      <c r="AI313" s="18"/>
    </row>
    <row r="314" spans="1:35">
      <c r="A314" s="51"/>
      <c r="B314" s="51"/>
      <c r="C314" s="51"/>
      <c r="D314" s="51"/>
      <c r="E314" s="51"/>
      <c r="F314" s="55"/>
      <c r="G314" s="56"/>
      <c r="H314" s="57"/>
      <c r="I314" s="51"/>
      <c r="J314" s="51"/>
      <c r="K314" s="58"/>
      <c r="L314" s="59"/>
      <c r="M314" s="58"/>
      <c r="N314" s="58"/>
      <c r="O314" s="51"/>
      <c r="P314" s="51"/>
      <c r="Q314" s="37"/>
      <c r="R314" s="70"/>
      <c r="S314" s="70"/>
      <c r="T314" s="70"/>
      <c r="U314" s="71"/>
      <c r="V314" s="73"/>
      <c r="W314" s="75"/>
      <c r="X314" s="117"/>
      <c r="Y314" s="111"/>
      <c r="Z314" s="111"/>
      <c r="AH314" s="18"/>
      <c r="AI314" s="18"/>
    </row>
    <row r="315" spans="1:35">
      <c r="A315" s="51"/>
      <c r="B315" s="51"/>
      <c r="C315" s="51"/>
      <c r="D315" s="51"/>
      <c r="E315" s="51"/>
      <c r="F315" s="55"/>
      <c r="G315" s="56"/>
      <c r="H315" s="57"/>
      <c r="I315" s="51"/>
      <c r="J315" s="51"/>
      <c r="K315" s="58"/>
      <c r="L315" s="59"/>
      <c r="M315" s="58"/>
      <c r="N315" s="58"/>
      <c r="O315" s="51"/>
      <c r="P315" s="51"/>
      <c r="Q315" s="37"/>
      <c r="R315" s="70"/>
      <c r="S315" s="70"/>
      <c r="T315" s="70"/>
      <c r="U315" s="71"/>
      <c r="V315" s="73"/>
      <c r="W315" s="75"/>
      <c r="X315" s="117"/>
      <c r="Y315" s="111"/>
      <c r="Z315" s="111"/>
      <c r="AH315" s="18"/>
      <c r="AI315" s="18"/>
    </row>
    <row r="316" spans="1:35">
      <c r="A316" s="51"/>
      <c r="B316" s="51"/>
      <c r="C316" s="51"/>
      <c r="D316" s="51"/>
      <c r="E316" s="51"/>
      <c r="F316" s="55"/>
      <c r="G316" s="56"/>
      <c r="H316" s="57"/>
      <c r="I316" s="51"/>
      <c r="J316" s="51"/>
      <c r="K316" s="58"/>
      <c r="L316" s="59"/>
      <c r="M316" s="58"/>
      <c r="N316" s="58"/>
      <c r="O316" s="51"/>
      <c r="P316" s="51"/>
      <c r="Q316" s="37"/>
      <c r="R316" s="70"/>
      <c r="S316" s="70"/>
      <c r="T316" s="70"/>
      <c r="U316" s="71"/>
      <c r="V316" s="73"/>
      <c r="W316" s="75"/>
      <c r="X316" s="117"/>
      <c r="Y316" s="111"/>
      <c r="Z316" s="111"/>
      <c r="AH316" s="18"/>
      <c r="AI316" s="18"/>
    </row>
    <row r="317" spans="1:35">
      <c r="A317" s="51"/>
      <c r="B317" s="51"/>
      <c r="C317" s="51"/>
      <c r="D317" s="51"/>
      <c r="E317" s="51"/>
      <c r="F317" s="55"/>
      <c r="G317" s="56"/>
      <c r="H317" s="57"/>
      <c r="I317" s="51"/>
      <c r="J317" s="51"/>
      <c r="K317" s="58"/>
      <c r="L317" s="59"/>
      <c r="M317" s="58"/>
      <c r="N317" s="58"/>
      <c r="O317" s="51"/>
      <c r="P317" s="51"/>
      <c r="Q317" s="37"/>
      <c r="R317" s="70"/>
      <c r="S317" s="70"/>
      <c r="T317" s="70"/>
      <c r="U317" s="71"/>
      <c r="V317" s="73"/>
      <c r="W317" s="75"/>
      <c r="X317" s="117"/>
      <c r="Y317" s="111"/>
      <c r="Z317" s="111"/>
      <c r="AH317" s="18"/>
      <c r="AI317" s="18"/>
    </row>
    <row r="318" spans="1:35">
      <c r="A318" s="51"/>
      <c r="B318" s="51"/>
      <c r="C318" s="51"/>
      <c r="D318" s="51"/>
      <c r="E318" s="51"/>
      <c r="F318" s="55"/>
      <c r="G318" s="56"/>
      <c r="H318" s="57"/>
      <c r="I318" s="51"/>
      <c r="J318" s="51"/>
      <c r="K318" s="58"/>
      <c r="L318" s="59"/>
      <c r="M318" s="58"/>
      <c r="N318" s="58"/>
      <c r="O318" s="51"/>
      <c r="P318" s="51"/>
      <c r="Q318" s="37"/>
      <c r="R318" s="70"/>
      <c r="S318" s="70"/>
      <c r="T318" s="70"/>
      <c r="U318" s="71"/>
      <c r="V318" s="73"/>
      <c r="W318" s="75"/>
      <c r="X318" s="117"/>
      <c r="Y318" s="111"/>
      <c r="Z318" s="111"/>
      <c r="AH318" s="18"/>
      <c r="AI318" s="18"/>
    </row>
    <row r="319" spans="1:35">
      <c r="A319" s="51"/>
      <c r="B319" s="51"/>
      <c r="C319" s="51"/>
      <c r="D319" s="51"/>
      <c r="E319" s="51"/>
      <c r="F319" s="55"/>
      <c r="G319" s="56"/>
      <c r="H319" s="57"/>
      <c r="I319" s="51"/>
      <c r="J319" s="51"/>
      <c r="K319" s="58"/>
      <c r="L319" s="59"/>
      <c r="M319" s="58"/>
      <c r="N319" s="58"/>
      <c r="O319" s="51"/>
      <c r="P319" s="51"/>
      <c r="Q319" s="37"/>
      <c r="R319" s="70"/>
      <c r="S319" s="70"/>
      <c r="T319" s="70"/>
      <c r="U319" s="71"/>
      <c r="V319" s="73"/>
      <c r="W319" s="75"/>
      <c r="X319" s="117"/>
      <c r="Y319" s="111"/>
      <c r="Z319" s="111"/>
      <c r="AH319" s="18"/>
      <c r="AI319" s="18"/>
    </row>
    <row r="320" spans="1:35">
      <c r="A320" s="51"/>
      <c r="B320" s="51"/>
      <c r="C320" s="51"/>
      <c r="D320" s="51"/>
      <c r="E320" s="51"/>
      <c r="F320" s="55"/>
      <c r="G320" s="56"/>
      <c r="H320" s="57"/>
      <c r="I320" s="51"/>
      <c r="J320" s="51"/>
      <c r="K320" s="58"/>
      <c r="L320" s="59"/>
      <c r="M320" s="58"/>
      <c r="N320" s="58"/>
      <c r="O320" s="51"/>
      <c r="P320" s="51"/>
      <c r="Q320" s="37"/>
      <c r="R320" s="70"/>
      <c r="S320" s="70"/>
      <c r="T320" s="70"/>
      <c r="U320" s="71"/>
      <c r="V320" s="73"/>
      <c r="W320" s="75"/>
      <c r="X320" s="117"/>
      <c r="Y320" s="111"/>
      <c r="Z320" s="111"/>
      <c r="AH320" s="18"/>
      <c r="AI320" s="18"/>
    </row>
    <row r="321" spans="1:35">
      <c r="A321" s="51"/>
      <c r="B321" s="51"/>
      <c r="C321" s="51"/>
      <c r="D321" s="51"/>
      <c r="E321" s="51"/>
      <c r="F321" s="55"/>
      <c r="G321" s="56"/>
      <c r="H321" s="57"/>
      <c r="I321" s="51"/>
      <c r="J321" s="51"/>
      <c r="K321" s="58"/>
      <c r="L321" s="59"/>
      <c r="M321" s="58"/>
      <c r="N321" s="58"/>
      <c r="O321" s="51"/>
      <c r="P321" s="51"/>
      <c r="Q321" s="37"/>
      <c r="R321" s="70"/>
      <c r="S321" s="70"/>
      <c r="T321" s="70"/>
      <c r="U321" s="71"/>
      <c r="V321" s="73"/>
      <c r="W321" s="75"/>
      <c r="X321" s="117"/>
      <c r="Y321" s="111"/>
      <c r="Z321" s="111"/>
      <c r="AH321" s="18"/>
      <c r="AI321" s="18"/>
    </row>
    <row r="322" spans="1:35">
      <c r="A322" s="51"/>
      <c r="B322" s="51"/>
      <c r="C322" s="51"/>
      <c r="D322" s="51"/>
      <c r="E322" s="51"/>
      <c r="F322" s="55"/>
      <c r="G322" s="56"/>
      <c r="H322" s="57"/>
      <c r="I322" s="51"/>
      <c r="J322" s="51"/>
      <c r="K322" s="58"/>
      <c r="L322" s="59"/>
      <c r="M322" s="58"/>
      <c r="N322" s="58"/>
      <c r="O322" s="51"/>
      <c r="P322" s="51"/>
      <c r="Q322" s="37"/>
      <c r="R322" s="70"/>
      <c r="S322" s="70"/>
      <c r="T322" s="70"/>
      <c r="U322" s="71"/>
      <c r="V322" s="73"/>
      <c r="W322" s="75"/>
      <c r="X322" s="117"/>
      <c r="Y322" s="111"/>
      <c r="Z322" s="111"/>
      <c r="AH322" s="18"/>
      <c r="AI322" s="18"/>
    </row>
    <row r="323" spans="1:35">
      <c r="A323" s="51"/>
      <c r="B323" s="51"/>
      <c r="C323" s="51"/>
      <c r="D323" s="51"/>
      <c r="E323" s="51"/>
      <c r="F323" s="55"/>
      <c r="G323" s="56"/>
      <c r="H323" s="57"/>
      <c r="I323" s="51"/>
      <c r="J323" s="51"/>
      <c r="K323" s="58"/>
      <c r="L323" s="59"/>
      <c r="M323" s="58"/>
      <c r="N323" s="58"/>
      <c r="O323" s="51"/>
      <c r="P323" s="51"/>
      <c r="Q323" s="37"/>
      <c r="R323" s="70"/>
      <c r="S323" s="70"/>
      <c r="T323" s="70"/>
      <c r="U323" s="71"/>
      <c r="V323" s="73"/>
      <c r="W323" s="75"/>
      <c r="X323" s="117"/>
      <c r="Y323" s="111"/>
      <c r="Z323" s="111"/>
      <c r="AH323" s="18"/>
      <c r="AI323" s="18"/>
    </row>
    <row r="324" spans="1:35">
      <c r="A324" s="51"/>
      <c r="B324" s="51"/>
      <c r="C324" s="51"/>
      <c r="D324" s="51"/>
      <c r="E324" s="51"/>
      <c r="F324" s="55"/>
      <c r="G324" s="56"/>
      <c r="H324" s="57"/>
      <c r="I324" s="51"/>
      <c r="J324" s="51"/>
      <c r="K324" s="58"/>
      <c r="L324" s="59"/>
      <c r="M324" s="58"/>
      <c r="N324" s="58"/>
      <c r="O324" s="51"/>
      <c r="P324" s="51"/>
      <c r="Q324" s="37"/>
      <c r="R324" s="70"/>
      <c r="S324" s="70"/>
      <c r="T324" s="70"/>
      <c r="U324" s="71"/>
      <c r="V324" s="73"/>
      <c r="W324" s="75"/>
      <c r="X324" s="117"/>
      <c r="Y324" s="111"/>
      <c r="Z324" s="111"/>
      <c r="AH324" s="18"/>
      <c r="AI324" s="18"/>
    </row>
    <row r="325" spans="1:35">
      <c r="A325" s="51"/>
      <c r="B325" s="51"/>
      <c r="C325" s="51"/>
      <c r="D325" s="51"/>
      <c r="E325" s="51"/>
      <c r="F325" s="55"/>
      <c r="G325" s="56"/>
      <c r="H325" s="57"/>
      <c r="I325" s="51"/>
      <c r="J325" s="51"/>
      <c r="K325" s="58"/>
      <c r="L325" s="59"/>
      <c r="M325" s="58"/>
      <c r="N325" s="58"/>
      <c r="O325" s="51"/>
      <c r="P325" s="51"/>
      <c r="Q325" s="37"/>
      <c r="R325" s="70"/>
      <c r="S325" s="70"/>
      <c r="T325" s="70"/>
      <c r="U325" s="71"/>
      <c r="V325" s="73"/>
      <c r="W325" s="75"/>
      <c r="X325" s="117"/>
      <c r="Y325" s="111"/>
      <c r="Z325" s="111"/>
      <c r="AH325" s="18"/>
      <c r="AI325" s="18"/>
    </row>
    <row r="326" spans="1:35">
      <c r="A326" s="51"/>
      <c r="B326" s="51"/>
      <c r="C326" s="51"/>
      <c r="D326" s="51"/>
      <c r="E326" s="51"/>
      <c r="F326" s="55"/>
      <c r="G326" s="56"/>
      <c r="H326" s="57"/>
      <c r="I326" s="51"/>
      <c r="J326" s="51"/>
      <c r="K326" s="58"/>
      <c r="L326" s="59"/>
      <c r="M326" s="58"/>
      <c r="N326" s="58"/>
      <c r="O326" s="51"/>
      <c r="P326" s="51"/>
      <c r="Q326" s="37"/>
      <c r="R326" s="70"/>
      <c r="S326" s="70"/>
      <c r="T326" s="70"/>
      <c r="U326" s="71"/>
      <c r="V326" s="73"/>
      <c r="W326" s="75"/>
      <c r="X326" s="117"/>
      <c r="Y326" s="111"/>
      <c r="Z326" s="111"/>
      <c r="AH326" s="18"/>
      <c r="AI326" s="18"/>
    </row>
    <row r="327" spans="1:35">
      <c r="A327" s="51"/>
      <c r="B327" s="51"/>
      <c r="C327" s="51"/>
      <c r="D327" s="51"/>
      <c r="E327" s="51"/>
      <c r="F327" s="55"/>
      <c r="G327" s="56"/>
      <c r="H327" s="57"/>
      <c r="I327" s="51"/>
      <c r="J327" s="51"/>
      <c r="K327" s="58"/>
      <c r="L327" s="59"/>
      <c r="M327" s="58"/>
      <c r="N327" s="58"/>
      <c r="O327" s="51"/>
      <c r="P327" s="51"/>
      <c r="Q327" s="37"/>
      <c r="R327" s="70"/>
      <c r="S327" s="70"/>
      <c r="T327" s="70"/>
      <c r="U327" s="71"/>
      <c r="V327" s="73"/>
      <c r="W327" s="75"/>
      <c r="X327" s="117"/>
      <c r="Y327" s="111"/>
      <c r="Z327" s="111"/>
      <c r="AH327" s="18"/>
      <c r="AI327" s="18"/>
    </row>
    <row r="328" spans="1:35">
      <c r="A328" s="51"/>
      <c r="B328" s="51"/>
      <c r="C328" s="51"/>
      <c r="D328" s="51"/>
      <c r="E328" s="51"/>
      <c r="F328" s="55"/>
      <c r="G328" s="56"/>
      <c r="H328" s="57"/>
      <c r="I328" s="51"/>
      <c r="J328" s="51"/>
      <c r="K328" s="58"/>
      <c r="L328" s="59"/>
      <c r="M328" s="58"/>
      <c r="N328" s="58"/>
      <c r="O328" s="51"/>
      <c r="P328" s="51"/>
      <c r="Q328" s="37"/>
      <c r="R328" s="70"/>
      <c r="S328" s="70"/>
      <c r="T328" s="70"/>
      <c r="U328" s="71"/>
      <c r="V328" s="73"/>
      <c r="W328" s="75"/>
      <c r="X328" s="117"/>
      <c r="Y328" s="111"/>
      <c r="Z328" s="111"/>
      <c r="AH328" s="18"/>
      <c r="AI328" s="18"/>
    </row>
    <row r="329" spans="1:35">
      <c r="A329" s="51"/>
      <c r="B329" s="51"/>
      <c r="C329" s="51"/>
      <c r="D329" s="51"/>
      <c r="E329" s="51"/>
      <c r="F329" s="55"/>
      <c r="G329" s="56"/>
      <c r="H329" s="57"/>
      <c r="I329" s="51"/>
      <c r="J329" s="51"/>
      <c r="K329" s="58"/>
      <c r="L329" s="59"/>
      <c r="M329" s="58"/>
      <c r="N329" s="58"/>
      <c r="O329" s="51"/>
      <c r="P329" s="51"/>
      <c r="Q329" s="37"/>
      <c r="R329" s="70"/>
      <c r="S329" s="70"/>
      <c r="T329" s="70"/>
      <c r="U329" s="71"/>
      <c r="V329" s="73"/>
      <c r="W329" s="75"/>
      <c r="X329" s="117"/>
      <c r="Y329" s="111"/>
      <c r="Z329" s="111"/>
      <c r="AH329" s="18"/>
      <c r="AI329" s="18"/>
    </row>
    <row r="330" spans="1:35">
      <c r="A330" s="51"/>
      <c r="B330" s="51"/>
      <c r="C330" s="51"/>
      <c r="D330" s="51"/>
      <c r="E330" s="51"/>
      <c r="F330" s="55"/>
      <c r="G330" s="56"/>
      <c r="H330" s="57"/>
      <c r="I330" s="51"/>
      <c r="J330" s="51"/>
      <c r="K330" s="58"/>
      <c r="L330" s="59"/>
      <c r="M330" s="58"/>
      <c r="N330" s="58"/>
      <c r="O330" s="51"/>
      <c r="P330" s="51"/>
      <c r="Q330" s="37"/>
      <c r="R330" s="70"/>
      <c r="S330" s="70"/>
      <c r="T330" s="70"/>
      <c r="U330" s="71"/>
      <c r="V330" s="73"/>
      <c r="W330" s="75"/>
      <c r="X330" s="117"/>
      <c r="Y330" s="111"/>
      <c r="Z330" s="111"/>
      <c r="AH330" s="18"/>
      <c r="AI330" s="18"/>
    </row>
    <row r="331" spans="1:35">
      <c r="A331" s="51"/>
      <c r="B331" s="51"/>
      <c r="C331" s="51"/>
      <c r="D331" s="51"/>
      <c r="E331" s="51"/>
      <c r="F331" s="55"/>
      <c r="G331" s="56"/>
      <c r="H331" s="57"/>
      <c r="I331" s="51"/>
      <c r="J331" s="51"/>
      <c r="K331" s="58"/>
      <c r="L331" s="59"/>
      <c r="M331" s="58"/>
      <c r="N331" s="58"/>
      <c r="O331" s="51"/>
      <c r="P331" s="51"/>
      <c r="Q331" s="37"/>
      <c r="R331" s="70"/>
      <c r="S331" s="70"/>
      <c r="T331" s="70"/>
      <c r="U331" s="71"/>
      <c r="V331" s="73"/>
      <c r="W331" s="75"/>
      <c r="X331" s="117"/>
      <c r="Y331" s="111"/>
      <c r="Z331" s="111"/>
      <c r="AH331" s="18"/>
      <c r="AI331" s="18"/>
    </row>
    <row r="332" spans="1:35">
      <c r="A332" s="51"/>
      <c r="B332" s="51"/>
      <c r="C332" s="51"/>
      <c r="D332" s="51"/>
      <c r="E332" s="51"/>
      <c r="F332" s="55"/>
      <c r="G332" s="56"/>
      <c r="H332" s="57"/>
      <c r="I332" s="51"/>
      <c r="J332" s="51"/>
      <c r="K332" s="58"/>
      <c r="L332" s="59"/>
      <c r="M332" s="58"/>
      <c r="N332" s="58"/>
      <c r="O332" s="51"/>
      <c r="P332" s="51"/>
      <c r="Q332" s="37"/>
      <c r="R332" s="70"/>
      <c r="S332" s="70"/>
      <c r="T332" s="70"/>
      <c r="U332" s="71"/>
      <c r="V332" s="73"/>
      <c r="W332" s="75"/>
      <c r="X332" s="117"/>
      <c r="Y332" s="111"/>
      <c r="Z332" s="111"/>
      <c r="AH332" s="18"/>
      <c r="AI332" s="18"/>
    </row>
    <row r="333" spans="1:35">
      <c r="A333" s="51"/>
      <c r="B333" s="51"/>
      <c r="C333" s="51"/>
      <c r="D333" s="51"/>
      <c r="E333" s="51"/>
      <c r="F333" s="55"/>
      <c r="G333" s="56"/>
      <c r="H333" s="57"/>
      <c r="I333" s="51"/>
      <c r="J333" s="51"/>
      <c r="K333" s="58"/>
      <c r="L333" s="59"/>
      <c r="M333" s="58"/>
      <c r="N333" s="58"/>
      <c r="O333" s="51"/>
      <c r="P333" s="51"/>
      <c r="Q333" s="37"/>
      <c r="R333" s="70"/>
      <c r="S333" s="70"/>
      <c r="T333" s="70"/>
      <c r="U333" s="71"/>
      <c r="V333" s="73"/>
      <c r="W333" s="75"/>
      <c r="X333" s="117"/>
      <c r="Y333" s="111"/>
      <c r="Z333" s="111"/>
      <c r="AH333" s="18"/>
      <c r="AI333" s="18"/>
    </row>
    <row r="334" spans="1:35">
      <c r="A334" s="51"/>
      <c r="B334" s="51"/>
      <c r="C334" s="51"/>
      <c r="D334" s="51"/>
      <c r="E334" s="51"/>
      <c r="F334" s="55"/>
      <c r="G334" s="56"/>
      <c r="H334" s="57"/>
      <c r="I334" s="51"/>
      <c r="J334" s="51"/>
      <c r="K334" s="58"/>
      <c r="L334" s="59"/>
      <c r="M334" s="58"/>
      <c r="N334" s="58"/>
      <c r="O334" s="51"/>
      <c r="P334" s="51"/>
      <c r="Q334" s="37"/>
      <c r="R334" s="70"/>
      <c r="S334" s="70"/>
      <c r="T334" s="70"/>
      <c r="U334" s="71"/>
      <c r="V334" s="73"/>
      <c r="W334" s="75"/>
      <c r="X334" s="117"/>
      <c r="Y334" s="111"/>
      <c r="Z334" s="111"/>
      <c r="AH334" s="18"/>
      <c r="AI334" s="18"/>
    </row>
    <row r="335" spans="1:35">
      <c r="A335" s="51"/>
      <c r="B335" s="51"/>
      <c r="C335" s="51"/>
      <c r="D335" s="51"/>
      <c r="E335" s="51"/>
      <c r="F335" s="55"/>
      <c r="G335" s="56"/>
      <c r="H335" s="57"/>
      <c r="I335" s="51"/>
      <c r="J335" s="51"/>
      <c r="K335" s="58"/>
      <c r="L335" s="59"/>
      <c r="M335" s="58"/>
      <c r="N335" s="58"/>
      <c r="O335" s="51"/>
      <c r="P335" s="51"/>
      <c r="Q335" s="37"/>
      <c r="R335" s="70"/>
      <c r="S335" s="70"/>
      <c r="T335" s="70"/>
      <c r="U335" s="71"/>
      <c r="V335" s="73"/>
      <c r="W335" s="75"/>
      <c r="X335" s="117"/>
      <c r="Y335" s="111"/>
      <c r="Z335" s="111"/>
      <c r="AH335" s="18"/>
      <c r="AI335" s="18"/>
    </row>
    <row r="336" spans="1:35">
      <c r="A336" s="51"/>
      <c r="B336" s="51"/>
      <c r="C336" s="51"/>
      <c r="D336" s="51"/>
      <c r="E336" s="51"/>
      <c r="F336" s="55"/>
      <c r="G336" s="56"/>
      <c r="H336" s="57"/>
      <c r="I336" s="51"/>
      <c r="J336" s="51"/>
      <c r="K336" s="58"/>
      <c r="L336" s="59"/>
      <c r="M336" s="58"/>
      <c r="N336" s="58"/>
      <c r="O336" s="51"/>
      <c r="P336" s="51"/>
      <c r="Q336" s="37"/>
      <c r="R336" s="70"/>
      <c r="S336" s="70"/>
      <c r="T336" s="70"/>
      <c r="U336" s="71"/>
      <c r="V336" s="73"/>
      <c r="W336" s="75"/>
      <c r="X336" s="117"/>
      <c r="Y336" s="111"/>
      <c r="Z336" s="111"/>
      <c r="AH336" s="18"/>
      <c r="AI336" s="18"/>
    </row>
    <row r="337" spans="1:35">
      <c r="A337" s="51"/>
      <c r="B337" s="51"/>
      <c r="C337" s="51"/>
      <c r="D337" s="51"/>
      <c r="E337" s="51"/>
      <c r="F337" s="55"/>
      <c r="G337" s="56"/>
      <c r="H337" s="57"/>
      <c r="I337" s="51"/>
      <c r="J337" s="51"/>
      <c r="K337" s="58"/>
      <c r="L337" s="59"/>
      <c r="M337" s="58"/>
      <c r="N337" s="58"/>
      <c r="O337" s="51"/>
      <c r="P337" s="51"/>
      <c r="Q337" s="37"/>
      <c r="R337" s="70"/>
      <c r="S337" s="70"/>
      <c r="T337" s="70"/>
      <c r="U337" s="71"/>
      <c r="V337" s="73"/>
      <c r="W337" s="75"/>
      <c r="X337" s="117"/>
      <c r="Y337" s="111"/>
      <c r="Z337" s="111"/>
      <c r="AH337" s="18"/>
      <c r="AI337" s="18"/>
    </row>
    <row r="338" spans="1:35">
      <c r="A338" s="51"/>
      <c r="B338" s="51"/>
      <c r="C338" s="51"/>
      <c r="D338" s="51"/>
      <c r="E338" s="51"/>
      <c r="F338" s="55"/>
      <c r="G338" s="56"/>
      <c r="H338" s="57"/>
      <c r="I338" s="51"/>
      <c r="J338" s="51"/>
      <c r="K338" s="58"/>
      <c r="L338" s="59"/>
      <c r="M338" s="58"/>
      <c r="N338" s="58"/>
      <c r="O338" s="51"/>
      <c r="P338" s="51"/>
      <c r="Q338" s="37"/>
      <c r="R338" s="70"/>
      <c r="S338" s="70"/>
      <c r="T338" s="70"/>
      <c r="U338" s="71"/>
      <c r="V338" s="73"/>
      <c r="W338" s="75"/>
      <c r="X338" s="117"/>
      <c r="Y338" s="111"/>
      <c r="Z338" s="111"/>
      <c r="AH338" s="18"/>
      <c r="AI338" s="18"/>
    </row>
    <row r="339" spans="1:35">
      <c r="A339" s="51"/>
      <c r="B339" s="51"/>
      <c r="C339" s="51"/>
      <c r="D339" s="51"/>
      <c r="E339" s="51"/>
      <c r="F339" s="55"/>
      <c r="G339" s="56"/>
      <c r="H339" s="57"/>
      <c r="I339" s="51"/>
      <c r="J339" s="51"/>
      <c r="K339" s="58"/>
      <c r="L339" s="59"/>
      <c r="M339" s="58"/>
      <c r="N339" s="58"/>
      <c r="O339" s="51"/>
      <c r="P339" s="51"/>
      <c r="Q339" s="37"/>
      <c r="R339" s="70"/>
      <c r="S339" s="70"/>
      <c r="T339" s="70"/>
      <c r="U339" s="71"/>
      <c r="V339" s="73"/>
      <c r="W339" s="75"/>
      <c r="X339" s="117"/>
      <c r="Y339" s="111"/>
      <c r="Z339" s="111"/>
      <c r="AH339" s="18"/>
      <c r="AI339" s="18"/>
    </row>
    <row r="340" spans="1:35">
      <c r="A340" s="51"/>
      <c r="B340" s="51"/>
      <c r="C340" s="51"/>
      <c r="D340" s="51"/>
      <c r="E340" s="51"/>
      <c r="F340" s="55"/>
      <c r="G340" s="56"/>
      <c r="H340" s="57"/>
      <c r="I340" s="51"/>
      <c r="J340" s="51"/>
      <c r="K340" s="58"/>
      <c r="L340" s="59"/>
      <c r="M340" s="58"/>
      <c r="N340" s="58"/>
      <c r="O340" s="51"/>
      <c r="P340" s="51"/>
      <c r="Q340" s="37"/>
      <c r="R340" s="70"/>
      <c r="S340" s="70"/>
      <c r="T340" s="70"/>
      <c r="U340" s="71"/>
      <c r="V340" s="73"/>
      <c r="W340" s="75"/>
      <c r="X340" s="117"/>
      <c r="Y340" s="111"/>
      <c r="Z340" s="111"/>
      <c r="AH340" s="18"/>
      <c r="AI340" s="18"/>
    </row>
    <row r="341" spans="1:35">
      <c r="A341" s="51"/>
      <c r="B341" s="51"/>
      <c r="C341" s="51"/>
      <c r="D341" s="51"/>
      <c r="E341" s="51"/>
      <c r="F341" s="55"/>
      <c r="G341" s="56"/>
      <c r="H341" s="57"/>
      <c r="I341" s="51"/>
      <c r="J341" s="51"/>
      <c r="K341" s="58"/>
      <c r="L341" s="59"/>
      <c r="M341" s="58"/>
      <c r="N341" s="58"/>
      <c r="O341" s="51"/>
      <c r="P341" s="51"/>
      <c r="Q341" s="37"/>
      <c r="R341" s="70"/>
      <c r="S341" s="70"/>
      <c r="T341" s="70"/>
      <c r="U341" s="71"/>
      <c r="V341" s="73"/>
      <c r="W341" s="75"/>
      <c r="X341" s="117"/>
      <c r="Y341" s="111"/>
      <c r="Z341" s="111"/>
      <c r="AH341" s="18"/>
      <c r="AI341" s="18"/>
    </row>
    <row r="342" spans="1:35">
      <c r="A342" s="51"/>
      <c r="B342" s="51"/>
      <c r="C342" s="51"/>
      <c r="D342" s="51"/>
      <c r="E342" s="51"/>
      <c r="F342" s="55"/>
      <c r="G342" s="56"/>
      <c r="H342" s="57"/>
      <c r="I342" s="51"/>
      <c r="J342" s="51"/>
      <c r="K342" s="58"/>
      <c r="L342" s="59"/>
      <c r="M342" s="58"/>
      <c r="N342" s="58"/>
      <c r="O342" s="51"/>
      <c r="P342" s="51"/>
      <c r="Q342" s="37"/>
      <c r="R342" s="70"/>
      <c r="S342" s="70"/>
      <c r="T342" s="70"/>
      <c r="U342" s="71"/>
      <c r="V342" s="73"/>
      <c r="W342" s="75"/>
      <c r="X342" s="117"/>
      <c r="Y342" s="111"/>
      <c r="Z342" s="111"/>
      <c r="AH342" s="18"/>
      <c r="AI342" s="18"/>
    </row>
    <row r="343" spans="1:35">
      <c r="A343" s="51"/>
      <c r="B343" s="51"/>
      <c r="C343" s="51"/>
      <c r="D343" s="51"/>
      <c r="E343" s="51"/>
      <c r="F343" s="55"/>
      <c r="G343" s="56"/>
      <c r="H343" s="57"/>
      <c r="I343" s="51"/>
      <c r="J343" s="51"/>
      <c r="K343" s="58"/>
      <c r="L343" s="59"/>
      <c r="M343" s="58"/>
      <c r="N343" s="58"/>
      <c r="O343" s="51"/>
      <c r="P343" s="51"/>
      <c r="Q343" s="37"/>
      <c r="R343" s="70"/>
      <c r="S343" s="70"/>
      <c r="T343" s="70"/>
      <c r="U343" s="71"/>
      <c r="V343" s="73"/>
      <c r="W343" s="75"/>
      <c r="X343" s="117"/>
      <c r="Y343" s="111"/>
      <c r="Z343" s="111"/>
      <c r="AH343" s="18"/>
      <c r="AI343" s="18"/>
    </row>
    <row r="344" spans="1:35">
      <c r="A344" s="51"/>
      <c r="B344" s="51"/>
      <c r="C344" s="51"/>
      <c r="D344" s="51"/>
      <c r="E344" s="51"/>
      <c r="F344" s="55"/>
      <c r="G344" s="56"/>
      <c r="H344" s="57"/>
      <c r="I344" s="51"/>
      <c r="J344" s="51"/>
      <c r="K344" s="58"/>
      <c r="L344" s="59"/>
      <c r="M344" s="58"/>
      <c r="N344" s="58"/>
      <c r="O344" s="51"/>
      <c r="P344" s="51"/>
      <c r="Q344" s="37"/>
      <c r="R344" s="70"/>
      <c r="S344" s="70"/>
      <c r="T344" s="70"/>
      <c r="U344" s="71"/>
      <c r="V344" s="73"/>
      <c r="W344" s="75"/>
      <c r="X344" s="117"/>
      <c r="Y344" s="111"/>
      <c r="Z344" s="111"/>
      <c r="AH344" s="18"/>
      <c r="AI344" s="18"/>
    </row>
    <row r="345" spans="1:35">
      <c r="A345" s="51"/>
      <c r="B345" s="51"/>
      <c r="C345" s="51"/>
      <c r="D345" s="51"/>
      <c r="E345" s="51"/>
      <c r="F345" s="55"/>
      <c r="G345" s="56"/>
      <c r="H345" s="57"/>
      <c r="I345" s="51"/>
      <c r="J345" s="51"/>
      <c r="K345" s="58"/>
      <c r="L345" s="59"/>
      <c r="M345" s="58"/>
      <c r="N345" s="58"/>
      <c r="O345" s="51"/>
      <c r="P345" s="51"/>
      <c r="Q345" s="37"/>
      <c r="R345" s="70"/>
      <c r="S345" s="70"/>
      <c r="T345" s="70"/>
      <c r="U345" s="71"/>
      <c r="V345" s="73"/>
      <c r="W345" s="75"/>
      <c r="X345" s="117"/>
      <c r="Y345" s="111"/>
      <c r="Z345" s="111"/>
      <c r="AH345" s="18"/>
      <c r="AI345" s="18"/>
    </row>
    <row r="346" spans="1:35">
      <c r="A346" s="51"/>
      <c r="B346" s="51"/>
      <c r="C346" s="51"/>
      <c r="D346" s="51"/>
      <c r="E346" s="51"/>
      <c r="F346" s="55"/>
      <c r="G346" s="56"/>
      <c r="H346" s="57"/>
      <c r="I346" s="51"/>
      <c r="J346" s="51"/>
      <c r="K346" s="58"/>
      <c r="L346" s="59"/>
      <c r="M346" s="58"/>
      <c r="N346" s="58"/>
      <c r="O346" s="51"/>
      <c r="P346" s="51"/>
      <c r="Q346" s="37"/>
      <c r="R346" s="70"/>
      <c r="S346" s="70"/>
      <c r="T346" s="70"/>
      <c r="U346" s="71"/>
      <c r="V346" s="73"/>
      <c r="W346" s="75"/>
      <c r="X346" s="117"/>
      <c r="Y346" s="111"/>
      <c r="Z346" s="111"/>
      <c r="AH346" s="18"/>
      <c r="AI346" s="18"/>
    </row>
    <row r="347" spans="1:35">
      <c r="A347" s="51"/>
      <c r="B347" s="51"/>
      <c r="C347" s="51"/>
      <c r="D347" s="51"/>
      <c r="E347" s="51"/>
      <c r="F347" s="55"/>
      <c r="G347" s="56"/>
      <c r="H347" s="57"/>
      <c r="I347" s="51"/>
      <c r="J347" s="51"/>
      <c r="K347" s="58"/>
      <c r="L347" s="59"/>
      <c r="M347" s="58"/>
      <c r="N347" s="58"/>
      <c r="O347" s="51"/>
      <c r="P347" s="51"/>
      <c r="Q347" s="37"/>
      <c r="R347" s="70"/>
      <c r="S347" s="70"/>
      <c r="T347" s="70"/>
      <c r="U347" s="71"/>
      <c r="V347" s="73"/>
      <c r="W347" s="75"/>
      <c r="X347" s="117"/>
      <c r="Y347" s="111"/>
      <c r="Z347" s="111"/>
      <c r="AH347" s="18"/>
      <c r="AI347" s="18"/>
    </row>
    <row r="348" spans="1:35">
      <c r="A348" s="51"/>
      <c r="B348" s="51"/>
      <c r="C348" s="51"/>
      <c r="D348" s="51"/>
      <c r="E348" s="51"/>
      <c r="F348" s="55"/>
      <c r="G348" s="56"/>
      <c r="H348" s="57"/>
      <c r="I348" s="51"/>
      <c r="J348" s="51"/>
      <c r="K348" s="58"/>
      <c r="L348" s="59"/>
      <c r="M348" s="58"/>
      <c r="N348" s="58"/>
      <c r="O348" s="51"/>
      <c r="P348" s="51"/>
      <c r="Q348" s="37"/>
      <c r="R348" s="70"/>
      <c r="S348" s="70"/>
      <c r="T348" s="70"/>
      <c r="U348" s="71"/>
      <c r="V348" s="73"/>
      <c r="W348" s="75"/>
      <c r="X348" s="117"/>
      <c r="Y348" s="111"/>
      <c r="Z348" s="111"/>
      <c r="AH348" s="18"/>
      <c r="AI348" s="18"/>
    </row>
    <row r="349" spans="1:35">
      <c r="A349" s="51"/>
      <c r="B349" s="51"/>
      <c r="C349" s="51"/>
      <c r="D349" s="51"/>
      <c r="E349" s="51"/>
      <c r="F349" s="55"/>
      <c r="G349" s="56"/>
      <c r="H349" s="57"/>
      <c r="I349" s="51"/>
      <c r="J349" s="51"/>
      <c r="K349" s="58"/>
      <c r="L349" s="59"/>
      <c r="M349" s="58"/>
      <c r="N349" s="58"/>
      <c r="O349" s="51"/>
      <c r="P349" s="51"/>
      <c r="Q349" s="37"/>
      <c r="R349" s="70"/>
      <c r="S349" s="70"/>
      <c r="T349" s="70"/>
      <c r="U349" s="71"/>
      <c r="V349" s="73"/>
      <c r="W349" s="75"/>
      <c r="X349" s="117"/>
      <c r="Y349" s="111"/>
      <c r="Z349" s="111"/>
      <c r="AH349" s="18"/>
      <c r="AI349" s="18"/>
    </row>
    <row r="350" spans="1:35">
      <c r="A350" s="51"/>
      <c r="B350" s="51"/>
      <c r="C350" s="51"/>
      <c r="D350" s="51"/>
      <c r="E350" s="51"/>
      <c r="F350" s="55"/>
      <c r="G350" s="56"/>
      <c r="H350" s="57"/>
      <c r="I350" s="51"/>
      <c r="J350" s="51"/>
      <c r="K350" s="58"/>
      <c r="L350" s="59"/>
      <c r="M350" s="58"/>
      <c r="N350" s="58"/>
      <c r="O350" s="51"/>
      <c r="P350" s="51"/>
      <c r="Q350" s="37"/>
      <c r="R350" s="70"/>
      <c r="S350" s="70"/>
      <c r="T350" s="70"/>
      <c r="U350" s="71"/>
      <c r="V350" s="73"/>
      <c r="W350" s="75"/>
      <c r="X350" s="117"/>
      <c r="Y350" s="111"/>
      <c r="Z350" s="111"/>
      <c r="AH350" s="18"/>
      <c r="AI350" s="18"/>
    </row>
    <row r="351" spans="1:35">
      <c r="A351" s="51"/>
      <c r="B351" s="51"/>
      <c r="C351" s="51"/>
      <c r="D351" s="51"/>
      <c r="E351" s="51"/>
      <c r="F351" s="55"/>
      <c r="G351" s="56"/>
      <c r="H351" s="57"/>
      <c r="I351" s="51"/>
      <c r="J351" s="51"/>
      <c r="K351" s="58"/>
      <c r="L351" s="59"/>
      <c r="M351" s="58"/>
      <c r="N351" s="58"/>
      <c r="O351" s="51"/>
      <c r="P351" s="51"/>
      <c r="Q351" s="37"/>
      <c r="R351" s="70"/>
      <c r="S351" s="70"/>
      <c r="T351" s="70"/>
      <c r="U351" s="71"/>
      <c r="V351" s="73"/>
      <c r="W351" s="75"/>
      <c r="X351" s="117"/>
      <c r="Y351" s="111"/>
      <c r="Z351" s="111"/>
      <c r="AH351" s="18"/>
      <c r="AI351" s="18"/>
    </row>
    <row r="352" spans="1:35">
      <c r="A352" s="51"/>
      <c r="B352" s="51"/>
      <c r="C352" s="51"/>
      <c r="D352" s="51"/>
      <c r="E352" s="51"/>
      <c r="F352" s="55"/>
      <c r="G352" s="56"/>
      <c r="H352" s="57"/>
      <c r="I352" s="51"/>
      <c r="J352" s="51"/>
      <c r="K352" s="58"/>
      <c r="L352" s="59"/>
      <c r="M352" s="58"/>
      <c r="N352" s="58"/>
      <c r="O352" s="51"/>
      <c r="P352" s="51"/>
      <c r="Q352" s="37"/>
      <c r="R352" s="70"/>
      <c r="S352" s="70"/>
      <c r="T352" s="70"/>
      <c r="U352" s="71"/>
      <c r="V352" s="73"/>
      <c r="W352" s="75"/>
      <c r="X352" s="117"/>
      <c r="Y352" s="111"/>
      <c r="Z352" s="111"/>
      <c r="AH352" s="18"/>
      <c r="AI352" s="18"/>
    </row>
    <row r="353" spans="1:35">
      <c r="A353" s="51"/>
      <c r="B353" s="51"/>
      <c r="C353" s="51"/>
      <c r="D353" s="51"/>
      <c r="E353" s="51"/>
      <c r="F353" s="55"/>
      <c r="G353" s="56"/>
      <c r="H353" s="57"/>
      <c r="I353" s="51"/>
      <c r="J353" s="51"/>
      <c r="K353" s="58"/>
      <c r="L353" s="59"/>
      <c r="M353" s="58"/>
      <c r="N353" s="58"/>
      <c r="O353" s="51"/>
      <c r="P353" s="51"/>
      <c r="Q353" s="37"/>
      <c r="R353" s="70"/>
      <c r="S353" s="70"/>
      <c r="T353" s="70"/>
      <c r="U353" s="71"/>
      <c r="V353" s="73"/>
      <c r="W353" s="75"/>
      <c r="X353" s="117"/>
      <c r="Y353" s="111"/>
      <c r="Z353" s="111"/>
      <c r="AH353" s="18"/>
      <c r="AI353" s="18"/>
    </row>
    <row r="354" spans="1:35">
      <c r="A354" s="51"/>
      <c r="B354" s="51"/>
      <c r="C354" s="51"/>
      <c r="D354" s="51"/>
      <c r="E354" s="51"/>
      <c r="F354" s="55"/>
      <c r="G354" s="56"/>
      <c r="H354" s="57"/>
      <c r="I354" s="51"/>
      <c r="J354" s="51"/>
      <c r="K354" s="58"/>
      <c r="L354" s="59"/>
      <c r="M354" s="58"/>
      <c r="N354" s="58"/>
      <c r="O354" s="51"/>
      <c r="P354" s="51"/>
      <c r="Q354" s="37"/>
      <c r="R354" s="70"/>
      <c r="S354" s="70"/>
      <c r="T354" s="70"/>
      <c r="U354" s="71"/>
      <c r="V354" s="73"/>
      <c r="W354" s="75"/>
      <c r="X354" s="117"/>
      <c r="Y354" s="111"/>
      <c r="Z354" s="111"/>
      <c r="AH354" s="18"/>
      <c r="AI354" s="18"/>
    </row>
    <row r="355" spans="1:35">
      <c r="A355" s="51"/>
      <c r="B355" s="51"/>
      <c r="C355" s="51"/>
      <c r="D355" s="51"/>
      <c r="E355" s="51"/>
      <c r="F355" s="55"/>
      <c r="G355" s="56"/>
      <c r="H355" s="57"/>
      <c r="I355" s="51"/>
      <c r="J355" s="51"/>
      <c r="K355" s="58"/>
      <c r="L355" s="59"/>
      <c r="M355" s="58"/>
      <c r="N355" s="58"/>
      <c r="O355" s="51"/>
      <c r="P355" s="51"/>
      <c r="Q355" s="37"/>
      <c r="R355" s="70"/>
      <c r="S355" s="70"/>
      <c r="T355" s="70"/>
      <c r="U355" s="71"/>
      <c r="V355" s="73"/>
      <c r="W355" s="75"/>
      <c r="X355" s="117"/>
      <c r="Y355" s="111"/>
      <c r="Z355" s="111"/>
      <c r="AH355" s="18"/>
      <c r="AI355" s="18"/>
    </row>
    <row r="356" spans="1:35">
      <c r="A356" s="51"/>
      <c r="B356" s="51"/>
      <c r="C356" s="51"/>
      <c r="D356" s="51"/>
      <c r="E356" s="51"/>
      <c r="F356" s="55"/>
      <c r="G356" s="56"/>
      <c r="H356" s="57"/>
      <c r="I356" s="51"/>
      <c r="J356" s="51"/>
      <c r="K356" s="58"/>
      <c r="L356" s="59"/>
      <c r="M356" s="58"/>
      <c r="N356" s="58"/>
      <c r="O356" s="51"/>
      <c r="P356" s="51"/>
      <c r="Q356" s="37"/>
      <c r="R356" s="70"/>
      <c r="S356" s="70"/>
      <c r="T356" s="70"/>
      <c r="U356" s="71"/>
      <c r="V356" s="73"/>
      <c r="W356" s="75"/>
      <c r="X356" s="117"/>
      <c r="Y356" s="111"/>
      <c r="Z356" s="111"/>
      <c r="AH356" s="18"/>
      <c r="AI356" s="18"/>
    </row>
    <row r="357" spans="1:35">
      <c r="A357" s="51"/>
      <c r="B357" s="51"/>
      <c r="C357" s="51"/>
      <c r="D357" s="51"/>
      <c r="E357" s="51"/>
      <c r="F357" s="55"/>
      <c r="G357" s="56"/>
      <c r="H357" s="57"/>
      <c r="I357" s="51"/>
      <c r="J357" s="51"/>
      <c r="K357" s="58"/>
      <c r="L357" s="59"/>
      <c r="M357" s="58"/>
      <c r="N357" s="58"/>
      <c r="O357" s="51"/>
      <c r="P357" s="51"/>
      <c r="Q357" s="37"/>
      <c r="R357" s="70"/>
      <c r="S357" s="70"/>
      <c r="T357" s="70"/>
      <c r="U357" s="71"/>
      <c r="V357" s="73"/>
      <c r="W357" s="75"/>
      <c r="X357" s="117"/>
      <c r="Y357" s="111"/>
      <c r="Z357" s="111"/>
      <c r="AH357" s="18"/>
      <c r="AI357" s="18"/>
    </row>
    <row r="358" spans="1:35">
      <c r="A358" s="51"/>
      <c r="B358" s="51"/>
      <c r="C358" s="51"/>
      <c r="D358" s="51"/>
      <c r="E358" s="51"/>
      <c r="F358" s="55"/>
      <c r="G358" s="56"/>
      <c r="H358" s="57"/>
      <c r="I358" s="51"/>
      <c r="J358" s="51"/>
      <c r="K358" s="58"/>
      <c r="L358" s="59"/>
      <c r="M358" s="58"/>
      <c r="N358" s="58"/>
      <c r="O358" s="51"/>
      <c r="P358" s="51"/>
      <c r="Q358" s="37"/>
      <c r="R358" s="70"/>
      <c r="S358" s="70"/>
      <c r="T358" s="70"/>
      <c r="U358" s="71"/>
      <c r="V358" s="73"/>
      <c r="W358" s="75"/>
      <c r="X358" s="117"/>
      <c r="Y358" s="111"/>
      <c r="Z358" s="111"/>
      <c r="AH358" s="18"/>
      <c r="AI358" s="18"/>
    </row>
    <row r="359" spans="1:35">
      <c r="A359" s="51"/>
      <c r="B359" s="51"/>
      <c r="C359" s="51"/>
      <c r="D359" s="51"/>
      <c r="E359" s="51"/>
      <c r="F359" s="55"/>
      <c r="G359" s="56"/>
      <c r="H359" s="57"/>
      <c r="I359" s="51"/>
      <c r="J359" s="51"/>
      <c r="K359" s="58"/>
      <c r="L359" s="59"/>
      <c r="M359" s="58"/>
      <c r="N359" s="58"/>
      <c r="O359" s="51"/>
      <c r="P359" s="51"/>
      <c r="Q359" s="37"/>
      <c r="R359" s="70"/>
      <c r="S359" s="70"/>
      <c r="T359" s="70"/>
      <c r="U359" s="71"/>
      <c r="V359" s="73"/>
      <c r="W359" s="75"/>
      <c r="X359" s="117"/>
      <c r="Y359" s="111"/>
      <c r="Z359" s="111"/>
      <c r="AH359" s="18"/>
      <c r="AI359" s="18"/>
    </row>
    <row r="360" spans="1:35">
      <c r="A360" s="51"/>
      <c r="B360" s="51"/>
      <c r="C360" s="51"/>
      <c r="D360" s="51"/>
      <c r="E360" s="51"/>
      <c r="F360" s="55"/>
      <c r="G360" s="56"/>
      <c r="H360" s="57"/>
      <c r="I360" s="51"/>
      <c r="J360" s="51"/>
      <c r="K360" s="58"/>
      <c r="L360" s="59"/>
      <c r="M360" s="58"/>
      <c r="N360" s="58"/>
      <c r="O360" s="51"/>
      <c r="P360" s="51"/>
      <c r="Q360" s="37"/>
      <c r="R360" s="70"/>
      <c r="S360" s="70"/>
      <c r="T360" s="70"/>
      <c r="U360" s="71"/>
      <c r="V360" s="73"/>
      <c r="W360" s="75"/>
      <c r="X360" s="117"/>
      <c r="Y360" s="111"/>
      <c r="Z360" s="111"/>
      <c r="AH360" s="18"/>
      <c r="AI360" s="18"/>
    </row>
    <row r="361" spans="1:35">
      <c r="A361" s="51"/>
      <c r="B361" s="51"/>
      <c r="C361" s="51"/>
      <c r="D361" s="51"/>
      <c r="E361" s="51"/>
      <c r="F361" s="55"/>
      <c r="G361" s="56"/>
      <c r="H361" s="57"/>
      <c r="I361" s="51"/>
      <c r="J361" s="51"/>
      <c r="K361" s="58"/>
      <c r="L361" s="59"/>
      <c r="M361" s="58"/>
      <c r="N361" s="58"/>
      <c r="O361" s="51"/>
      <c r="P361" s="51"/>
      <c r="Q361" s="37"/>
      <c r="R361" s="70"/>
      <c r="S361" s="70"/>
      <c r="T361" s="70"/>
      <c r="U361" s="71"/>
      <c r="V361" s="73"/>
      <c r="W361" s="75"/>
      <c r="X361" s="117"/>
      <c r="Y361" s="111"/>
      <c r="Z361" s="111"/>
      <c r="AH361" s="18"/>
      <c r="AI361" s="18"/>
    </row>
    <row r="362" spans="1:35">
      <c r="A362" s="51"/>
      <c r="B362" s="51"/>
      <c r="C362" s="51"/>
      <c r="D362" s="51"/>
      <c r="E362" s="51"/>
      <c r="F362" s="55"/>
      <c r="G362" s="56"/>
      <c r="H362" s="57"/>
      <c r="I362" s="51"/>
      <c r="J362" s="51"/>
      <c r="K362" s="58"/>
      <c r="L362" s="59"/>
      <c r="M362" s="58"/>
      <c r="N362" s="58"/>
      <c r="O362" s="51"/>
      <c r="P362" s="51"/>
      <c r="Q362" s="37"/>
      <c r="R362" s="70"/>
      <c r="S362" s="70"/>
      <c r="T362" s="70"/>
      <c r="U362" s="71"/>
      <c r="V362" s="73"/>
      <c r="W362" s="75"/>
      <c r="X362" s="117"/>
      <c r="Y362" s="111"/>
      <c r="Z362" s="111"/>
      <c r="AH362" s="18"/>
      <c r="AI362" s="18"/>
    </row>
    <row r="363" spans="1:35">
      <c r="A363" s="51"/>
      <c r="B363" s="51"/>
      <c r="C363" s="51"/>
      <c r="D363" s="51"/>
      <c r="E363" s="51"/>
      <c r="F363" s="55"/>
      <c r="G363" s="56"/>
      <c r="H363" s="57"/>
      <c r="I363" s="51"/>
      <c r="J363" s="51"/>
      <c r="K363" s="58"/>
      <c r="L363" s="59"/>
      <c r="M363" s="58"/>
      <c r="N363" s="58"/>
      <c r="O363" s="51"/>
      <c r="P363" s="51"/>
      <c r="Q363" s="37"/>
      <c r="R363" s="70"/>
      <c r="S363" s="70"/>
      <c r="T363" s="70"/>
      <c r="U363" s="71"/>
      <c r="V363" s="73"/>
      <c r="W363" s="75"/>
      <c r="X363" s="117"/>
      <c r="Y363" s="111"/>
      <c r="Z363" s="111"/>
      <c r="AH363" s="18"/>
      <c r="AI363" s="18"/>
    </row>
    <row r="364" spans="1:35">
      <c r="A364" s="51"/>
      <c r="B364" s="51"/>
      <c r="C364" s="51"/>
      <c r="D364" s="51"/>
      <c r="E364" s="51"/>
      <c r="F364" s="55"/>
      <c r="G364" s="56"/>
      <c r="H364" s="57"/>
      <c r="I364" s="51"/>
      <c r="J364" s="51"/>
      <c r="K364" s="58"/>
      <c r="L364" s="59"/>
      <c r="M364" s="58"/>
      <c r="N364" s="58"/>
      <c r="O364" s="51"/>
      <c r="P364" s="51"/>
      <c r="Q364" s="37"/>
      <c r="R364" s="70"/>
      <c r="S364" s="70"/>
      <c r="T364" s="70"/>
      <c r="U364" s="71"/>
      <c r="V364" s="73"/>
      <c r="W364" s="75"/>
      <c r="X364" s="117"/>
      <c r="Y364" s="111"/>
      <c r="Z364" s="111"/>
      <c r="AH364" s="18"/>
      <c r="AI364" s="18"/>
    </row>
    <row r="365" spans="1:35">
      <c r="A365" s="51"/>
      <c r="B365" s="51"/>
      <c r="C365" s="51"/>
      <c r="D365" s="51"/>
      <c r="E365" s="51"/>
      <c r="F365" s="55"/>
      <c r="G365" s="56"/>
      <c r="H365" s="57"/>
      <c r="I365" s="51"/>
      <c r="J365" s="51"/>
      <c r="K365" s="58"/>
      <c r="L365" s="59"/>
      <c r="M365" s="58"/>
      <c r="N365" s="58"/>
      <c r="O365" s="51"/>
      <c r="P365" s="51"/>
      <c r="Q365" s="37"/>
      <c r="R365" s="70"/>
      <c r="S365" s="70"/>
      <c r="T365" s="70"/>
      <c r="U365" s="71"/>
      <c r="V365" s="73"/>
      <c r="W365" s="75"/>
      <c r="X365" s="117"/>
      <c r="Y365" s="111"/>
      <c r="Z365" s="111"/>
      <c r="AH365" s="18"/>
      <c r="AI365" s="18"/>
    </row>
    <row r="366" spans="1:35">
      <c r="A366" s="51"/>
      <c r="B366" s="51"/>
      <c r="C366" s="51"/>
      <c r="D366" s="51"/>
      <c r="E366" s="51"/>
      <c r="F366" s="55"/>
      <c r="G366" s="56"/>
      <c r="H366" s="57"/>
      <c r="I366" s="51"/>
      <c r="J366" s="51"/>
      <c r="K366" s="58"/>
      <c r="L366" s="59"/>
      <c r="M366" s="58"/>
      <c r="N366" s="58"/>
      <c r="O366" s="51"/>
      <c r="P366" s="51"/>
      <c r="Q366" s="37"/>
      <c r="R366" s="70"/>
      <c r="S366" s="70"/>
      <c r="T366" s="70"/>
      <c r="U366" s="71"/>
      <c r="V366" s="73"/>
      <c r="W366" s="75"/>
      <c r="X366" s="117"/>
      <c r="Y366" s="111"/>
      <c r="Z366" s="111"/>
      <c r="AH366" s="18"/>
      <c r="AI366" s="18"/>
    </row>
    <row r="367" spans="1:35">
      <c r="A367" s="51"/>
      <c r="B367" s="51"/>
      <c r="C367" s="51"/>
      <c r="D367" s="51"/>
      <c r="E367" s="51"/>
      <c r="F367" s="55"/>
      <c r="G367" s="56"/>
      <c r="H367" s="57"/>
      <c r="I367" s="51"/>
      <c r="J367" s="51"/>
      <c r="K367" s="58"/>
      <c r="L367" s="59"/>
      <c r="M367" s="58"/>
      <c r="N367" s="58"/>
      <c r="O367" s="51"/>
      <c r="P367" s="51"/>
      <c r="Q367" s="37"/>
      <c r="R367" s="70"/>
      <c r="S367" s="70"/>
      <c r="T367" s="70"/>
      <c r="U367" s="71"/>
      <c r="V367" s="73"/>
      <c r="W367" s="75"/>
      <c r="X367" s="117"/>
      <c r="Y367" s="111"/>
      <c r="Z367" s="111"/>
      <c r="AH367" s="18"/>
      <c r="AI367" s="18"/>
    </row>
    <row r="368" spans="1:35">
      <c r="A368" s="51"/>
      <c r="B368" s="51"/>
      <c r="C368" s="51"/>
      <c r="D368" s="51"/>
      <c r="E368" s="51"/>
      <c r="F368" s="55"/>
      <c r="G368" s="56"/>
      <c r="H368" s="57"/>
      <c r="I368" s="51"/>
      <c r="J368" s="51"/>
      <c r="K368" s="58"/>
      <c r="L368" s="59"/>
      <c r="M368" s="58"/>
      <c r="N368" s="58"/>
      <c r="O368" s="51"/>
      <c r="P368" s="51"/>
      <c r="Q368" s="37"/>
      <c r="R368" s="70"/>
      <c r="S368" s="70"/>
      <c r="T368" s="70"/>
      <c r="U368" s="71"/>
      <c r="V368" s="73"/>
      <c r="W368" s="75"/>
      <c r="X368" s="117"/>
      <c r="Y368" s="111"/>
      <c r="Z368" s="111"/>
      <c r="AH368" s="18"/>
      <c r="AI368" s="18"/>
    </row>
    <row r="369" spans="1:35">
      <c r="A369" s="51"/>
      <c r="B369" s="51"/>
      <c r="C369" s="51"/>
      <c r="D369" s="51"/>
      <c r="E369" s="51"/>
      <c r="F369" s="55"/>
      <c r="G369" s="56"/>
      <c r="H369" s="57"/>
      <c r="I369" s="51"/>
      <c r="J369" s="51"/>
      <c r="K369" s="58"/>
      <c r="L369" s="59"/>
      <c r="M369" s="58"/>
      <c r="N369" s="58"/>
      <c r="O369" s="51"/>
      <c r="P369" s="51"/>
      <c r="Q369" s="37"/>
      <c r="R369" s="70"/>
      <c r="S369" s="70"/>
      <c r="T369" s="70"/>
      <c r="U369" s="71"/>
      <c r="V369" s="73"/>
      <c r="W369" s="75"/>
      <c r="X369" s="117"/>
      <c r="Y369" s="111"/>
      <c r="Z369" s="111"/>
      <c r="AH369" s="18"/>
      <c r="AI369" s="18"/>
    </row>
    <row r="370" spans="1:35">
      <c r="A370" s="51"/>
      <c r="B370" s="51"/>
      <c r="C370" s="51"/>
      <c r="D370" s="51"/>
      <c r="E370" s="51"/>
      <c r="F370" s="55"/>
      <c r="G370" s="56"/>
      <c r="H370" s="57"/>
      <c r="I370" s="51"/>
      <c r="J370" s="51"/>
      <c r="K370" s="58"/>
      <c r="L370" s="59"/>
      <c r="M370" s="58"/>
      <c r="N370" s="58"/>
      <c r="O370" s="51"/>
      <c r="P370" s="51"/>
      <c r="Q370" s="37"/>
      <c r="R370" s="70"/>
      <c r="S370" s="70"/>
      <c r="T370" s="70"/>
      <c r="U370" s="71"/>
      <c r="V370" s="73"/>
      <c r="W370" s="75"/>
      <c r="X370" s="117"/>
      <c r="Y370" s="111"/>
      <c r="Z370" s="111"/>
      <c r="AH370" s="18"/>
      <c r="AI370" s="18"/>
    </row>
    <row r="371" spans="1:35">
      <c r="A371" s="51"/>
      <c r="B371" s="51"/>
      <c r="C371" s="51"/>
      <c r="D371" s="51"/>
      <c r="E371" s="51"/>
      <c r="F371" s="55"/>
      <c r="G371" s="56"/>
      <c r="H371" s="57"/>
      <c r="I371" s="51"/>
      <c r="J371" s="51"/>
      <c r="K371" s="58"/>
      <c r="L371" s="59"/>
      <c r="M371" s="58"/>
      <c r="N371" s="58"/>
      <c r="O371" s="51"/>
      <c r="P371" s="51"/>
      <c r="Q371" s="37"/>
      <c r="R371" s="70"/>
      <c r="S371" s="70"/>
      <c r="T371" s="70"/>
      <c r="U371" s="71"/>
      <c r="V371" s="73"/>
      <c r="W371" s="75"/>
      <c r="X371" s="117"/>
      <c r="Y371" s="111"/>
      <c r="Z371" s="111"/>
      <c r="AH371" s="18"/>
      <c r="AI371" s="18"/>
    </row>
    <row r="372" spans="1:35">
      <c r="A372" s="51"/>
      <c r="B372" s="51"/>
      <c r="C372" s="51"/>
      <c r="D372" s="51"/>
      <c r="E372" s="51"/>
      <c r="F372" s="55"/>
      <c r="G372" s="56"/>
      <c r="H372" s="57"/>
      <c r="I372" s="51"/>
      <c r="J372" s="51"/>
      <c r="K372" s="58"/>
      <c r="L372" s="59"/>
      <c r="M372" s="58"/>
      <c r="N372" s="58"/>
      <c r="O372" s="51"/>
      <c r="P372" s="51"/>
      <c r="Q372" s="37"/>
      <c r="R372" s="70"/>
      <c r="S372" s="70"/>
      <c r="T372" s="70"/>
      <c r="U372" s="71"/>
      <c r="V372" s="73"/>
      <c r="W372" s="75"/>
      <c r="X372" s="117"/>
      <c r="Y372" s="111"/>
      <c r="Z372" s="111"/>
      <c r="AH372" s="18"/>
      <c r="AI372" s="18"/>
    </row>
    <row r="373" spans="1:35">
      <c r="A373" s="51"/>
      <c r="B373" s="51"/>
      <c r="C373" s="51"/>
      <c r="D373" s="51"/>
      <c r="E373" s="51"/>
      <c r="F373" s="55"/>
      <c r="G373" s="56"/>
      <c r="H373" s="57"/>
      <c r="I373" s="51"/>
      <c r="J373" s="51"/>
      <c r="K373" s="58"/>
      <c r="L373" s="59"/>
      <c r="M373" s="58"/>
      <c r="N373" s="58"/>
      <c r="O373" s="51"/>
      <c r="P373" s="51"/>
      <c r="Q373" s="37"/>
      <c r="R373" s="70"/>
      <c r="S373" s="70"/>
      <c r="T373" s="70"/>
      <c r="U373" s="71"/>
      <c r="V373" s="73"/>
      <c r="W373" s="75"/>
      <c r="X373" s="117"/>
      <c r="Y373" s="111"/>
      <c r="Z373" s="111"/>
      <c r="AH373" s="18"/>
      <c r="AI373" s="18"/>
    </row>
    <row r="374" spans="1:35">
      <c r="A374" s="51"/>
      <c r="B374" s="51"/>
      <c r="C374" s="51"/>
      <c r="D374" s="51"/>
      <c r="E374" s="51"/>
      <c r="F374" s="55"/>
      <c r="G374" s="56"/>
      <c r="H374" s="57"/>
      <c r="I374" s="51"/>
      <c r="J374" s="51"/>
      <c r="K374" s="58"/>
      <c r="L374" s="59"/>
      <c r="M374" s="58"/>
      <c r="N374" s="58"/>
      <c r="O374" s="51"/>
      <c r="P374" s="51"/>
      <c r="Q374" s="37"/>
      <c r="R374" s="70"/>
      <c r="S374" s="70"/>
      <c r="T374" s="70"/>
      <c r="U374" s="71"/>
      <c r="V374" s="73"/>
      <c r="W374" s="75"/>
      <c r="X374" s="117"/>
      <c r="Y374" s="111"/>
      <c r="Z374" s="111"/>
      <c r="AH374" s="18"/>
      <c r="AI374" s="18"/>
    </row>
    <row r="375" spans="1:35">
      <c r="A375" s="51"/>
      <c r="B375" s="51"/>
      <c r="C375" s="51"/>
      <c r="D375" s="51"/>
      <c r="E375" s="51"/>
      <c r="F375" s="55"/>
      <c r="G375" s="56"/>
      <c r="H375" s="57"/>
      <c r="I375" s="51"/>
      <c r="J375" s="51"/>
      <c r="K375" s="58"/>
      <c r="L375" s="59"/>
      <c r="M375" s="58"/>
      <c r="N375" s="58"/>
      <c r="O375" s="51"/>
      <c r="P375" s="51"/>
      <c r="Q375" s="37"/>
      <c r="R375" s="70"/>
      <c r="S375" s="70"/>
      <c r="T375" s="70"/>
      <c r="U375" s="71"/>
      <c r="V375" s="73"/>
      <c r="W375" s="75"/>
      <c r="X375" s="117"/>
      <c r="Y375" s="111"/>
      <c r="Z375" s="111"/>
      <c r="AH375" s="18"/>
      <c r="AI375" s="18"/>
    </row>
    <row r="376" spans="1:35">
      <c r="A376" s="51"/>
      <c r="B376" s="51"/>
      <c r="C376" s="51"/>
      <c r="D376" s="51"/>
      <c r="E376" s="51"/>
      <c r="F376" s="55"/>
      <c r="G376" s="56"/>
      <c r="H376" s="57"/>
      <c r="I376" s="51"/>
      <c r="J376" s="51"/>
      <c r="K376" s="58"/>
      <c r="L376" s="59"/>
      <c r="M376" s="58"/>
      <c r="N376" s="58"/>
      <c r="O376" s="51"/>
      <c r="P376" s="51"/>
      <c r="Q376" s="37"/>
      <c r="R376" s="70"/>
      <c r="S376" s="70"/>
      <c r="T376" s="70"/>
      <c r="U376" s="71"/>
      <c r="V376" s="73"/>
      <c r="W376" s="75"/>
      <c r="X376" s="117"/>
      <c r="Y376" s="111"/>
      <c r="Z376" s="111"/>
      <c r="AH376" s="18"/>
      <c r="AI376" s="18"/>
    </row>
    <row r="377" spans="1:35">
      <c r="A377" s="51"/>
      <c r="B377" s="51"/>
      <c r="C377" s="51"/>
      <c r="D377" s="51"/>
      <c r="E377" s="51"/>
      <c r="F377" s="55"/>
      <c r="G377" s="56"/>
      <c r="H377" s="57"/>
      <c r="I377" s="51"/>
      <c r="J377" s="51"/>
      <c r="K377" s="58"/>
      <c r="L377" s="59"/>
      <c r="M377" s="58"/>
      <c r="N377" s="58"/>
      <c r="O377" s="51"/>
      <c r="P377" s="51"/>
      <c r="Q377" s="37"/>
      <c r="R377" s="70"/>
      <c r="S377" s="70"/>
      <c r="T377" s="70"/>
      <c r="U377" s="71"/>
      <c r="V377" s="73"/>
      <c r="W377" s="75"/>
      <c r="X377" s="117"/>
      <c r="Y377" s="111"/>
      <c r="Z377" s="111"/>
      <c r="AH377" s="18"/>
      <c r="AI377" s="18"/>
    </row>
    <row r="378" spans="1:35">
      <c r="A378" s="51"/>
      <c r="B378" s="51"/>
      <c r="C378" s="51"/>
      <c r="D378" s="51"/>
      <c r="E378" s="51"/>
      <c r="F378" s="55"/>
      <c r="G378" s="56"/>
      <c r="H378" s="57"/>
      <c r="I378" s="51"/>
      <c r="J378" s="51"/>
      <c r="K378" s="58"/>
      <c r="L378" s="59"/>
      <c r="M378" s="58"/>
      <c r="N378" s="58"/>
      <c r="O378" s="51"/>
      <c r="P378" s="51"/>
      <c r="Q378" s="37"/>
      <c r="R378" s="70"/>
      <c r="S378" s="70"/>
      <c r="T378" s="70"/>
      <c r="U378" s="71"/>
      <c r="V378" s="73"/>
      <c r="W378" s="75"/>
      <c r="X378" s="117"/>
      <c r="Y378" s="111"/>
      <c r="Z378" s="111"/>
      <c r="AH378" s="18"/>
      <c r="AI378" s="18"/>
    </row>
    <row r="379" spans="1:35">
      <c r="A379" s="51"/>
      <c r="B379" s="51"/>
      <c r="C379" s="51"/>
      <c r="D379" s="51"/>
      <c r="E379" s="51"/>
      <c r="F379" s="55"/>
      <c r="G379" s="56"/>
      <c r="H379" s="57"/>
      <c r="I379" s="51"/>
      <c r="J379" s="51"/>
      <c r="K379" s="58"/>
      <c r="L379" s="59"/>
      <c r="M379" s="58"/>
      <c r="N379" s="58"/>
      <c r="O379" s="51"/>
      <c r="P379" s="51"/>
      <c r="Q379" s="37"/>
      <c r="R379" s="70"/>
      <c r="S379" s="70"/>
      <c r="T379" s="70"/>
      <c r="U379" s="71"/>
      <c r="V379" s="73"/>
      <c r="W379" s="75"/>
      <c r="X379" s="117"/>
      <c r="Y379" s="111"/>
      <c r="Z379" s="111"/>
      <c r="AH379" s="18"/>
      <c r="AI379" s="18"/>
    </row>
    <row r="380" spans="1:35">
      <c r="A380" s="51"/>
      <c r="B380" s="51"/>
      <c r="C380" s="51"/>
      <c r="D380" s="51"/>
      <c r="E380" s="51"/>
      <c r="F380" s="55"/>
      <c r="G380" s="56"/>
      <c r="H380" s="57"/>
      <c r="I380" s="51"/>
      <c r="J380" s="51"/>
      <c r="K380" s="58"/>
      <c r="L380" s="59"/>
      <c r="M380" s="58"/>
      <c r="N380" s="58"/>
      <c r="O380" s="51"/>
      <c r="P380" s="51"/>
      <c r="Q380" s="37"/>
      <c r="R380" s="70"/>
      <c r="S380" s="70"/>
      <c r="T380" s="70"/>
      <c r="U380" s="71"/>
      <c r="V380" s="73"/>
      <c r="W380" s="75"/>
      <c r="X380" s="117"/>
      <c r="Y380" s="111"/>
      <c r="Z380" s="111"/>
      <c r="AH380" s="18"/>
      <c r="AI380" s="18"/>
    </row>
    <row r="381" spans="1:35">
      <c r="A381" s="51"/>
      <c r="B381" s="51"/>
      <c r="C381" s="51"/>
      <c r="D381" s="51"/>
      <c r="E381" s="51"/>
      <c r="F381" s="55"/>
      <c r="G381" s="56"/>
      <c r="H381" s="57"/>
      <c r="I381" s="51"/>
      <c r="J381" s="51"/>
      <c r="K381" s="58"/>
      <c r="L381" s="59"/>
      <c r="M381" s="58"/>
      <c r="N381" s="58"/>
      <c r="O381" s="51"/>
      <c r="P381" s="51"/>
      <c r="Q381" s="37"/>
      <c r="R381" s="70"/>
      <c r="S381" s="70"/>
      <c r="T381" s="70"/>
      <c r="U381" s="71"/>
      <c r="V381" s="73"/>
      <c r="W381" s="75"/>
      <c r="X381" s="117"/>
      <c r="Y381" s="111"/>
      <c r="Z381" s="111"/>
      <c r="AH381" s="18"/>
      <c r="AI381" s="18"/>
    </row>
    <row r="382" spans="1:35">
      <c r="A382" s="51"/>
      <c r="B382" s="51"/>
      <c r="C382" s="51"/>
      <c r="D382" s="51"/>
      <c r="E382" s="51"/>
      <c r="F382" s="55"/>
      <c r="G382" s="56"/>
      <c r="H382" s="57"/>
      <c r="I382" s="51"/>
      <c r="J382" s="51"/>
      <c r="K382" s="58"/>
      <c r="L382" s="59"/>
      <c r="M382" s="58"/>
      <c r="N382" s="58"/>
      <c r="O382" s="51"/>
      <c r="P382" s="51"/>
      <c r="Q382" s="37"/>
      <c r="R382" s="70"/>
      <c r="S382" s="70"/>
      <c r="T382" s="70"/>
      <c r="U382" s="71"/>
      <c r="V382" s="73"/>
      <c r="W382" s="75"/>
      <c r="X382" s="117"/>
      <c r="Y382" s="111"/>
      <c r="Z382" s="111"/>
      <c r="AH382" s="18"/>
      <c r="AI382" s="18"/>
    </row>
    <row r="383" spans="1:35">
      <c r="A383" s="51"/>
      <c r="B383" s="51"/>
      <c r="C383" s="51"/>
      <c r="D383" s="51"/>
      <c r="E383" s="51"/>
      <c r="F383" s="55"/>
      <c r="G383" s="56"/>
      <c r="H383" s="57"/>
      <c r="I383" s="51"/>
      <c r="J383" s="51"/>
      <c r="K383" s="58"/>
      <c r="L383" s="59"/>
      <c r="M383" s="58"/>
      <c r="N383" s="58"/>
      <c r="O383" s="51"/>
      <c r="P383" s="51"/>
      <c r="Q383" s="37"/>
      <c r="R383" s="70"/>
      <c r="S383" s="70"/>
      <c r="T383" s="70"/>
      <c r="U383" s="71"/>
      <c r="V383" s="73"/>
      <c r="W383" s="75"/>
      <c r="X383" s="117"/>
      <c r="Y383" s="111"/>
      <c r="Z383" s="111"/>
      <c r="AH383" s="18"/>
      <c r="AI383" s="18"/>
    </row>
    <row r="384" spans="1:35">
      <c r="A384" s="51"/>
      <c r="B384" s="51"/>
      <c r="C384" s="51"/>
      <c r="D384" s="51"/>
      <c r="E384" s="51"/>
      <c r="F384" s="55"/>
      <c r="G384" s="56"/>
      <c r="H384" s="57"/>
      <c r="I384" s="51"/>
      <c r="J384" s="51"/>
      <c r="K384" s="58"/>
      <c r="L384" s="59"/>
      <c r="M384" s="58"/>
      <c r="N384" s="58"/>
      <c r="O384" s="51"/>
      <c r="P384" s="51"/>
      <c r="Q384" s="37"/>
      <c r="R384" s="70"/>
      <c r="S384" s="70"/>
      <c r="T384" s="70"/>
      <c r="U384" s="71"/>
      <c r="V384" s="73"/>
      <c r="W384" s="75"/>
      <c r="X384" s="117"/>
      <c r="Y384" s="111"/>
      <c r="Z384" s="111"/>
      <c r="AH384" s="18"/>
      <c r="AI384" s="18"/>
    </row>
    <row r="385" spans="1:35">
      <c r="A385" s="51"/>
      <c r="B385" s="51"/>
      <c r="C385" s="51"/>
      <c r="D385" s="51"/>
      <c r="E385" s="51"/>
      <c r="F385" s="55"/>
      <c r="G385" s="56"/>
      <c r="H385" s="57"/>
      <c r="I385" s="51"/>
      <c r="J385" s="51"/>
      <c r="K385" s="58"/>
      <c r="L385" s="59"/>
      <c r="M385" s="58"/>
      <c r="N385" s="58"/>
      <c r="O385" s="51"/>
      <c r="P385" s="51"/>
      <c r="Q385" s="37"/>
      <c r="R385" s="70"/>
      <c r="S385" s="70"/>
      <c r="T385" s="70"/>
      <c r="U385" s="71"/>
      <c r="V385" s="73"/>
      <c r="W385" s="75"/>
      <c r="X385" s="117"/>
      <c r="Y385" s="111"/>
      <c r="Z385" s="111"/>
      <c r="AH385" s="18"/>
      <c r="AI385" s="18"/>
    </row>
    <row r="386" spans="1:35">
      <c r="A386" s="51"/>
      <c r="B386" s="51"/>
      <c r="C386" s="51"/>
      <c r="D386" s="51"/>
      <c r="E386" s="51"/>
      <c r="F386" s="55"/>
      <c r="G386" s="56"/>
      <c r="H386" s="57"/>
      <c r="I386" s="51"/>
      <c r="J386" s="51"/>
      <c r="K386" s="58"/>
      <c r="L386" s="59"/>
      <c r="M386" s="58"/>
      <c r="N386" s="58"/>
      <c r="O386" s="51"/>
      <c r="P386" s="51"/>
      <c r="Q386" s="37"/>
      <c r="R386" s="70"/>
      <c r="S386" s="70"/>
      <c r="T386" s="70"/>
      <c r="U386" s="71"/>
      <c r="V386" s="73"/>
      <c r="W386" s="75"/>
      <c r="X386" s="117"/>
      <c r="Y386" s="111"/>
      <c r="Z386" s="111"/>
      <c r="AH386" s="18"/>
      <c r="AI386" s="18"/>
    </row>
    <row r="387" spans="1:35">
      <c r="A387" s="51"/>
      <c r="B387" s="51"/>
      <c r="C387" s="51"/>
      <c r="D387" s="51"/>
      <c r="E387" s="51"/>
      <c r="F387" s="55"/>
      <c r="G387" s="56"/>
      <c r="H387" s="57"/>
      <c r="I387" s="51"/>
      <c r="J387" s="51"/>
      <c r="K387" s="58"/>
      <c r="L387" s="59"/>
      <c r="M387" s="58"/>
      <c r="N387" s="58"/>
      <c r="O387" s="51"/>
      <c r="P387" s="51"/>
      <c r="Q387" s="37"/>
      <c r="R387" s="70"/>
      <c r="S387" s="70"/>
      <c r="T387" s="70"/>
      <c r="U387" s="71"/>
      <c r="V387" s="73"/>
      <c r="W387" s="75"/>
      <c r="X387" s="117"/>
      <c r="Y387" s="111"/>
      <c r="Z387" s="111"/>
      <c r="AH387" s="18"/>
      <c r="AI387" s="18"/>
    </row>
    <row r="388" spans="1:35">
      <c r="A388" s="51"/>
      <c r="B388" s="51"/>
      <c r="C388" s="51"/>
      <c r="D388" s="51"/>
      <c r="E388" s="51"/>
      <c r="F388" s="55"/>
      <c r="G388" s="56"/>
      <c r="H388" s="57"/>
      <c r="I388" s="51"/>
      <c r="J388" s="51"/>
      <c r="K388" s="58"/>
      <c r="L388" s="59"/>
      <c r="M388" s="58"/>
      <c r="N388" s="58"/>
      <c r="O388" s="51"/>
      <c r="P388" s="51"/>
      <c r="Q388" s="37"/>
      <c r="R388" s="70"/>
      <c r="S388" s="70"/>
      <c r="T388" s="70"/>
      <c r="U388" s="71"/>
      <c r="V388" s="73"/>
      <c r="W388" s="75"/>
      <c r="X388" s="117"/>
      <c r="Y388" s="111"/>
      <c r="Z388" s="111"/>
      <c r="AH388" s="18"/>
      <c r="AI388" s="18"/>
    </row>
    <row r="389" spans="1:35">
      <c r="A389" s="51"/>
      <c r="B389" s="51"/>
      <c r="C389" s="51"/>
      <c r="D389" s="51"/>
      <c r="E389" s="51"/>
      <c r="F389" s="55"/>
      <c r="G389" s="56"/>
      <c r="H389" s="57"/>
      <c r="I389" s="51"/>
      <c r="J389" s="51"/>
      <c r="K389" s="58"/>
      <c r="L389" s="59"/>
      <c r="M389" s="58"/>
      <c r="N389" s="58"/>
      <c r="O389" s="51"/>
      <c r="P389" s="51"/>
      <c r="Q389" s="37"/>
      <c r="R389" s="70"/>
      <c r="S389" s="70"/>
      <c r="T389" s="70"/>
      <c r="U389" s="71"/>
      <c r="V389" s="73"/>
      <c r="W389" s="75"/>
      <c r="X389" s="117"/>
      <c r="Y389" s="111"/>
      <c r="Z389" s="111"/>
      <c r="AH389" s="18"/>
      <c r="AI389" s="18"/>
    </row>
    <row r="390" spans="1:35">
      <c r="A390" s="51"/>
      <c r="B390" s="51"/>
      <c r="C390" s="51"/>
      <c r="D390" s="51"/>
      <c r="E390" s="51"/>
      <c r="F390" s="55"/>
      <c r="G390" s="56"/>
      <c r="H390" s="57"/>
      <c r="I390" s="51"/>
      <c r="J390" s="51"/>
      <c r="K390" s="58"/>
      <c r="L390" s="59"/>
      <c r="M390" s="58"/>
      <c r="N390" s="58"/>
      <c r="O390" s="51"/>
      <c r="P390" s="51"/>
      <c r="Q390" s="37"/>
      <c r="R390" s="70"/>
      <c r="S390" s="70"/>
      <c r="T390" s="70"/>
      <c r="U390" s="71"/>
      <c r="V390" s="73"/>
      <c r="W390" s="75"/>
      <c r="X390" s="117"/>
      <c r="Y390" s="111"/>
      <c r="Z390" s="111"/>
      <c r="AH390" s="18"/>
      <c r="AI390" s="18"/>
    </row>
    <row r="391" spans="1:35">
      <c r="A391" s="51"/>
      <c r="B391" s="51"/>
      <c r="C391" s="51"/>
      <c r="D391" s="51"/>
      <c r="E391" s="51"/>
      <c r="F391" s="55"/>
      <c r="G391" s="56"/>
      <c r="H391" s="57"/>
      <c r="I391" s="51"/>
      <c r="J391" s="51"/>
      <c r="K391" s="58"/>
      <c r="L391" s="59"/>
      <c r="M391" s="58"/>
      <c r="N391" s="58"/>
      <c r="O391" s="51"/>
      <c r="P391" s="51"/>
      <c r="Q391" s="37"/>
      <c r="R391" s="70"/>
      <c r="S391" s="70"/>
      <c r="T391" s="70"/>
      <c r="U391" s="71"/>
      <c r="V391" s="73"/>
      <c r="W391" s="75"/>
      <c r="X391" s="117"/>
      <c r="Y391" s="111"/>
      <c r="Z391" s="111"/>
      <c r="AH391" s="18"/>
      <c r="AI391" s="18"/>
    </row>
    <row r="392" spans="1:35">
      <c r="A392" s="51"/>
      <c r="B392" s="51"/>
      <c r="C392" s="51"/>
      <c r="D392" s="51"/>
      <c r="E392" s="51"/>
      <c r="F392" s="55"/>
      <c r="G392" s="56"/>
      <c r="H392" s="57"/>
      <c r="I392" s="51"/>
      <c r="J392" s="51"/>
      <c r="K392" s="58"/>
      <c r="L392" s="59"/>
      <c r="M392" s="58"/>
      <c r="N392" s="58"/>
      <c r="O392" s="51"/>
      <c r="P392" s="51"/>
      <c r="Q392" s="37"/>
      <c r="R392" s="70"/>
      <c r="S392" s="70"/>
      <c r="T392" s="70"/>
      <c r="U392" s="71"/>
      <c r="V392" s="73"/>
      <c r="W392" s="75"/>
      <c r="X392" s="117"/>
      <c r="Y392" s="111"/>
      <c r="Z392" s="111"/>
      <c r="AH392" s="18"/>
      <c r="AI392" s="18"/>
    </row>
    <row r="393" spans="1:35">
      <c r="A393" s="51"/>
      <c r="B393" s="51"/>
      <c r="C393" s="51"/>
      <c r="D393" s="51"/>
      <c r="E393" s="51"/>
      <c r="F393" s="55"/>
      <c r="G393" s="56"/>
      <c r="H393" s="57"/>
      <c r="I393" s="51"/>
      <c r="J393" s="51"/>
      <c r="K393" s="58"/>
      <c r="L393" s="59"/>
      <c r="M393" s="58"/>
      <c r="N393" s="58"/>
      <c r="O393" s="51"/>
      <c r="P393" s="51"/>
      <c r="Q393" s="37"/>
      <c r="R393" s="70"/>
      <c r="S393" s="70"/>
      <c r="T393" s="70"/>
      <c r="U393" s="71"/>
      <c r="V393" s="73"/>
      <c r="W393" s="75"/>
      <c r="X393" s="117"/>
      <c r="Y393" s="111"/>
      <c r="Z393" s="111"/>
      <c r="AH393" s="18"/>
      <c r="AI393" s="18"/>
    </row>
    <row r="394" spans="1:35">
      <c r="A394" s="51"/>
      <c r="B394" s="51"/>
      <c r="C394" s="51"/>
      <c r="D394" s="51"/>
      <c r="E394" s="51"/>
      <c r="F394" s="55"/>
      <c r="G394" s="56"/>
      <c r="H394" s="57"/>
      <c r="I394" s="51"/>
      <c r="J394" s="51"/>
      <c r="K394" s="58"/>
      <c r="L394" s="59"/>
      <c r="M394" s="58"/>
      <c r="N394" s="58"/>
      <c r="O394" s="51"/>
      <c r="P394" s="51"/>
      <c r="Q394" s="37"/>
      <c r="R394" s="70"/>
      <c r="S394" s="70"/>
      <c r="T394" s="70"/>
      <c r="U394" s="71"/>
      <c r="V394" s="73"/>
      <c r="W394" s="75"/>
      <c r="X394" s="117"/>
      <c r="Y394" s="111"/>
      <c r="Z394" s="111"/>
      <c r="AH394" s="18"/>
      <c r="AI394" s="18"/>
    </row>
    <row r="395" spans="1:35">
      <c r="A395" s="51"/>
      <c r="B395" s="51"/>
      <c r="C395" s="51"/>
      <c r="D395" s="51"/>
      <c r="E395" s="51"/>
      <c r="F395" s="55"/>
      <c r="G395" s="56"/>
      <c r="H395" s="57"/>
      <c r="I395" s="51"/>
      <c r="J395" s="51"/>
      <c r="K395" s="58"/>
      <c r="L395" s="59"/>
      <c r="M395" s="58"/>
      <c r="N395" s="58"/>
      <c r="O395" s="51"/>
      <c r="P395" s="51"/>
      <c r="Q395" s="37"/>
      <c r="R395" s="70"/>
      <c r="S395" s="70"/>
      <c r="T395" s="70"/>
      <c r="U395" s="71"/>
      <c r="V395" s="73"/>
      <c r="W395" s="75"/>
      <c r="X395" s="117"/>
      <c r="Y395" s="111"/>
      <c r="Z395" s="111"/>
      <c r="AH395" s="18"/>
      <c r="AI395" s="18"/>
    </row>
    <row r="396" spans="1:35">
      <c r="A396" s="51"/>
      <c r="B396" s="51"/>
      <c r="C396" s="51"/>
      <c r="D396" s="51"/>
      <c r="E396" s="51"/>
      <c r="F396" s="55"/>
      <c r="G396" s="56"/>
      <c r="H396" s="57"/>
      <c r="I396" s="51"/>
      <c r="J396" s="51"/>
      <c r="K396" s="58"/>
      <c r="L396" s="59"/>
      <c r="M396" s="58"/>
      <c r="N396" s="58"/>
      <c r="O396" s="51"/>
      <c r="P396" s="51"/>
      <c r="Q396" s="37"/>
      <c r="R396" s="70"/>
      <c r="S396" s="70"/>
      <c r="T396" s="70"/>
      <c r="U396" s="71"/>
      <c r="V396" s="73"/>
      <c r="W396" s="75"/>
      <c r="X396" s="117"/>
      <c r="Y396" s="111"/>
      <c r="Z396" s="111"/>
      <c r="AH396" s="18"/>
      <c r="AI396" s="18"/>
    </row>
    <row r="397" spans="1:35">
      <c r="A397" s="51"/>
      <c r="B397" s="51"/>
      <c r="C397" s="51"/>
      <c r="D397" s="51"/>
      <c r="E397" s="51"/>
      <c r="F397" s="55"/>
      <c r="G397" s="56"/>
      <c r="H397" s="57"/>
      <c r="I397" s="51"/>
      <c r="J397" s="51"/>
      <c r="K397" s="58"/>
      <c r="L397" s="59"/>
      <c r="M397" s="58"/>
      <c r="N397" s="58"/>
      <c r="O397" s="51"/>
      <c r="P397" s="51"/>
      <c r="Q397" s="37"/>
      <c r="R397" s="70"/>
      <c r="S397" s="70"/>
      <c r="T397" s="70"/>
      <c r="U397" s="71"/>
      <c r="V397" s="73"/>
      <c r="W397" s="75"/>
      <c r="X397" s="117"/>
      <c r="Y397" s="111"/>
      <c r="Z397" s="111"/>
      <c r="AH397" s="18"/>
      <c r="AI397" s="18"/>
    </row>
    <row r="398" spans="1:35">
      <c r="A398" s="51"/>
      <c r="B398" s="51"/>
      <c r="C398" s="51"/>
      <c r="D398" s="51"/>
      <c r="E398" s="51"/>
      <c r="F398" s="55"/>
      <c r="G398" s="56"/>
      <c r="H398" s="57"/>
      <c r="I398" s="51"/>
      <c r="J398" s="51"/>
      <c r="K398" s="58"/>
      <c r="L398" s="59"/>
      <c r="M398" s="58"/>
      <c r="N398" s="58"/>
      <c r="O398" s="51"/>
      <c r="P398" s="51"/>
      <c r="Q398" s="37"/>
      <c r="R398" s="70"/>
      <c r="S398" s="70"/>
      <c r="T398" s="70"/>
      <c r="U398" s="71"/>
      <c r="V398" s="73"/>
      <c r="W398" s="75"/>
      <c r="X398" s="117"/>
      <c r="Y398" s="111"/>
      <c r="Z398" s="111"/>
      <c r="AH398" s="18"/>
      <c r="AI398" s="18"/>
    </row>
    <row r="399" spans="1:35">
      <c r="A399" s="51"/>
      <c r="B399" s="51"/>
      <c r="C399" s="51"/>
      <c r="D399" s="51"/>
      <c r="E399" s="51"/>
      <c r="F399" s="55"/>
      <c r="G399" s="56"/>
      <c r="H399" s="57"/>
      <c r="I399" s="51"/>
      <c r="J399" s="51"/>
      <c r="K399" s="58"/>
      <c r="L399" s="59"/>
      <c r="M399" s="58"/>
      <c r="N399" s="58"/>
      <c r="O399" s="51"/>
      <c r="P399" s="51"/>
      <c r="Q399" s="37"/>
      <c r="R399" s="70"/>
      <c r="S399" s="70"/>
      <c r="T399" s="70"/>
      <c r="U399" s="71"/>
      <c r="V399" s="73"/>
      <c r="W399" s="75"/>
      <c r="X399" s="117"/>
      <c r="Y399" s="111"/>
      <c r="Z399" s="111"/>
      <c r="AH399" s="18"/>
      <c r="AI399" s="18"/>
    </row>
    <row r="400" spans="1:35">
      <c r="A400" s="51"/>
      <c r="B400" s="51"/>
      <c r="C400" s="51"/>
      <c r="D400" s="51"/>
      <c r="E400" s="51"/>
      <c r="F400" s="55"/>
      <c r="G400" s="56"/>
      <c r="H400" s="57"/>
      <c r="I400" s="51"/>
      <c r="J400" s="51"/>
      <c r="K400" s="58"/>
      <c r="L400" s="59"/>
      <c r="M400" s="58"/>
      <c r="N400" s="58"/>
      <c r="O400" s="51"/>
      <c r="P400" s="51"/>
      <c r="Q400" s="37"/>
      <c r="R400" s="70"/>
      <c r="S400" s="70"/>
      <c r="T400" s="70"/>
      <c r="U400" s="71"/>
      <c r="V400" s="73"/>
      <c r="W400" s="75"/>
      <c r="X400" s="117"/>
      <c r="Y400" s="111"/>
      <c r="Z400" s="111"/>
      <c r="AH400" s="18"/>
      <c r="AI400" s="18"/>
    </row>
    <row r="401" spans="1:35">
      <c r="A401" s="51"/>
      <c r="B401" s="51"/>
      <c r="C401" s="51"/>
      <c r="D401" s="51"/>
      <c r="E401" s="51"/>
      <c r="F401" s="55"/>
      <c r="G401" s="56"/>
      <c r="H401" s="57"/>
      <c r="I401" s="51"/>
      <c r="J401" s="51"/>
      <c r="K401" s="58"/>
      <c r="L401" s="59"/>
      <c r="M401" s="58"/>
      <c r="N401" s="58"/>
      <c r="O401" s="51"/>
      <c r="P401" s="51"/>
      <c r="Q401" s="37"/>
      <c r="R401" s="70"/>
      <c r="S401" s="70"/>
      <c r="T401" s="70"/>
      <c r="U401" s="71"/>
      <c r="V401" s="73"/>
      <c r="W401" s="75"/>
      <c r="X401" s="117"/>
      <c r="Y401" s="111"/>
      <c r="Z401" s="111"/>
      <c r="AH401" s="18"/>
      <c r="AI401" s="18"/>
    </row>
    <row r="402" spans="1:35">
      <c r="A402" s="51"/>
      <c r="B402" s="51"/>
      <c r="C402" s="51"/>
      <c r="D402" s="51"/>
      <c r="E402" s="51"/>
      <c r="F402" s="55"/>
      <c r="G402" s="56"/>
      <c r="H402" s="57"/>
      <c r="I402" s="51"/>
      <c r="J402" s="51"/>
      <c r="K402" s="58"/>
      <c r="L402" s="59"/>
      <c r="M402" s="58"/>
      <c r="N402" s="58"/>
      <c r="O402" s="51"/>
      <c r="P402" s="51"/>
      <c r="Q402" s="37"/>
      <c r="R402" s="70"/>
      <c r="S402" s="70"/>
      <c r="T402" s="70"/>
      <c r="U402" s="71"/>
      <c r="V402" s="73"/>
      <c r="W402" s="75"/>
      <c r="X402" s="117"/>
      <c r="Y402" s="111"/>
      <c r="Z402" s="111"/>
      <c r="AH402" s="18"/>
      <c r="AI402" s="18"/>
    </row>
    <row r="403" spans="1:35">
      <c r="A403" s="51"/>
      <c r="B403" s="51"/>
      <c r="C403" s="51"/>
      <c r="D403" s="51"/>
      <c r="E403" s="51"/>
      <c r="F403" s="55"/>
      <c r="G403" s="56"/>
      <c r="H403" s="57"/>
      <c r="I403" s="51"/>
      <c r="J403" s="51"/>
      <c r="K403" s="58"/>
      <c r="L403" s="59"/>
      <c r="M403" s="58"/>
      <c r="N403" s="58"/>
      <c r="O403" s="51"/>
      <c r="P403" s="51"/>
      <c r="Q403" s="37"/>
      <c r="R403" s="70"/>
      <c r="S403" s="70"/>
      <c r="T403" s="70"/>
      <c r="U403" s="71"/>
      <c r="V403" s="73"/>
      <c r="W403" s="75"/>
      <c r="X403" s="117"/>
      <c r="Y403" s="111"/>
      <c r="Z403" s="111"/>
      <c r="AH403" s="18"/>
      <c r="AI403" s="18"/>
    </row>
    <row r="404" spans="1:35">
      <c r="A404" s="51"/>
      <c r="B404" s="51"/>
      <c r="C404" s="51"/>
      <c r="D404" s="51"/>
      <c r="E404" s="51"/>
      <c r="F404" s="55"/>
      <c r="G404" s="56"/>
      <c r="H404" s="57"/>
      <c r="I404" s="51"/>
      <c r="J404" s="51"/>
      <c r="K404" s="58"/>
      <c r="L404" s="59"/>
      <c r="M404" s="58"/>
      <c r="N404" s="58"/>
      <c r="O404" s="51"/>
      <c r="P404" s="51"/>
      <c r="Q404" s="37"/>
      <c r="R404" s="70"/>
      <c r="S404" s="70"/>
      <c r="T404" s="70"/>
      <c r="U404" s="71"/>
      <c r="V404" s="73"/>
      <c r="W404" s="75"/>
      <c r="X404" s="117"/>
      <c r="Y404" s="111"/>
      <c r="Z404" s="111"/>
      <c r="AH404" s="18"/>
      <c r="AI404" s="18"/>
    </row>
    <row r="405" spans="1:35">
      <c r="A405" s="51"/>
      <c r="B405" s="51"/>
      <c r="C405" s="51"/>
      <c r="D405" s="51"/>
      <c r="E405" s="51"/>
      <c r="F405" s="55"/>
      <c r="G405" s="56"/>
      <c r="H405" s="57"/>
      <c r="I405" s="51"/>
      <c r="J405" s="51"/>
      <c r="K405" s="58"/>
      <c r="L405" s="59"/>
      <c r="M405" s="58"/>
      <c r="N405" s="58"/>
      <c r="O405" s="51"/>
      <c r="P405" s="51"/>
      <c r="Q405" s="37"/>
      <c r="R405" s="70"/>
      <c r="S405" s="70"/>
      <c r="T405" s="70"/>
      <c r="U405" s="71"/>
      <c r="V405" s="73"/>
      <c r="W405" s="75"/>
      <c r="X405" s="117"/>
      <c r="Y405" s="111"/>
      <c r="Z405" s="111"/>
      <c r="AH405" s="18"/>
      <c r="AI405" s="18"/>
    </row>
    <row r="406" spans="1:35">
      <c r="A406" s="51"/>
      <c r="B406" s="51"/>
      <c r="C406" s="51"/>
      <c r="D406" s="51"/>
      <c r="E406" s="51"/>
      <c r="F406" s="55"/>
      <c r="G406" s="56"/>
      <c r="H406" s="57"/>
      <c r="I406" s="51"/>
      <c r="J406" s="51"/>
      <c r="K406" s="58"/>
      <c r="L406" s="59"/>
      <c r="M406" s="58"/>
      <c r="N406" s="58"/>
      <c r="O406" s="51"/>
      <c r="P406" s="51"/>
      <c r="Q406" s="37"/>
      <c r="R406" s="70"/>
      <c r="S406" s="70"/>
      <c r="T406" s="70"/>
      <c r="U406" s="71"/>
      <c r="V406" s="73"/>
      <c r="W406" s="75"/>
      <c r="X406" s="117"/>
      <c r="Y406" s="111"/>
      <c r="Z406" s="111"/>
      <c r="AH406" s="18"/>
      <c r="AI406" s="18"/>
    </row>
    <row r="407" spans="1:35">
      <c r="A407" s="51"/>
      <c r="B407" s="51"/>
      <c r="C407" s="51"/>
      <c r="D407" s="51"/>
      <c r="E407" s="51"/>
      <c r="F407" s="55"/>
      <c r="G407" s="56"/>
      <c r="H407" s="57"/>
      <c r="I407" s="51"/>
      <c r="J407" s="51"/>
      <c r="K407" s="58"/>
      <c r="L407" s="59"/>
      <c r="M407" s="58"/>
      <c r="N407" s="58"/>
      <c r="O407" s="51"/>
      <c r="P407" s="51"/>
      <c r="Q407" s="37"/>
      <c r="R407" s="70"/>
      <c r="S407" s="70"/>
      <c r="T407" s="70"/>
      <c r="U407" s="71"/>
      <c r="V407" s="73"/>
      <c r="W407" s="75"/>
      <c r="X407" s="117"/>
      <c r="Y407" s="111"/>
      <c r="Z407" s="111"/>
      <c r="AH407" s="18"/>
      <c r="AI407" s="18"/>
    </row>
    <row r="408" spans="1:35">
      <c r="A408" s="51"/>
      <c r="B408" s="51"/>
      <c r="C408" s="51"/>
      <c r="D408" s="51"/>
      <c r="E408" s="51"/>
      <c r="F408" s="55"/>
      <c r="G408" s="56"/>
      <c r="H408" s="57"/>
      <c r="I408" s="51"/>
      <c r="J408" s="51"/>
      <c r="K408" s="58"/>
      <c r="L408" s="59"/>
      <c r="M408" s="58"/>
      <c r="N408" s="58"/>
      <c r="O408" s="51"/>
      <c r="P408" s="51"/>
      <c r="Q408" s="37"/>
      <c r="R408" s="70"/>
      <c r="S408" s="70"/>
      <c r="T408" s="70"/>
      <c r="U408" s="71"/>
      <c r="V408" s="73"/>
      <c r="W408" s="75"/>
      <c r="X408" s="117"/>
      <c r="Y408" s="111"/>
      <c r="Z408" s="111"/>
      <c r="AH408" s="18"/>
      <c r="AI408" s="18"/>
    </row>
    <row r="409" spans="1:35">
      <c r="A409" s="51"/>
      <c r="B409" s="51"/>
      <c r="C409" s="51"/>
      <c r="D409" s="51"/>
      <c r="E409" s="51"/>
      <c r="F409" s="55"/>
      <c r="G409" s="56"/>
      <c r="H409" s="57"/>
      <c r="I409" s="51"/>
      <c r="J409" s="51"/>
      <c r="K409" s="58"/>
      <c r="L409" s="59"/>
      <c r="M409" s="58"/>
      <c r="N409" s="58"/>
      <c r="O409" s="51"/>
      <c r="P409" s="51"/>
      <c r="Q409" s="37"/>
      <c r="R409" s="70"/>
      <c r="S409" s="70"/>
      <c r="T409" s="70"/>
      <c r="U409" s="71"/>
      <c r="V409" s="73"/>
      <c r="W409" s="75"/>
      <c r="X409" s="117"/>
      <c r="Y409" s="111"/>
      <c r="Z409" s="111"/>
      <c r="AH409" s="18"/>
      <c r="AI409" s="18"/>
    </row>
    <row r="410" spans="1:35">
      <c r="A410" s="51"/>
      <c r="B410" s="51"/>
      <c r="C410" s="51"/>
      <c r="D410" s="51"/>
      <c r="E410" s="51"/>
      <c r="F410" s="55"/>
      <c r="G410" s="56"/>
      <c r="H410" s="57"/>
      <c r="I410" s="51"/>
      <c r="J410" s="51"/>
      <c r="K410" s="58"/>
      <c r="L410" s="59"/>
      <c r="M410" s="58"/>
      <c r="N410" s="58"/>
      <c r="O410" s="51"/>
      <c r="P410" s="51"/>
      <c r="Q410" s="37"/>
      <c r="R410" s="70"/>
      <c r="S410" s="70"/>
      <c r="T410" s="70"/>
      <c r="U410" s="71"/>
      <c r="V410" s="73"/>
      <c r="W410" s="75"/>
      <c r="X410" s="117"/>
      <c r="Y410" s="111"/>
      <c r="Z410" s="111"/>
      <c r="AH410" s="18"/>
      <c r="AI410" s="18"/>
    </row>
    <row r="411" spans="1:35">
      <c r="A411" s="51"/>
      <c r="B411" s="51"/>
      <c r="C411" s="51"/>
      <c r="D411" s="51"/>
      <c r="E411" s="51"/>
      <c r="F411" s="55"/>
      <c r="G411" s="56"/>
      <c r="H411" s="57"/>
      <c r="I411" s="51"/>
      <c r="J411" s="51"/>
      <c r="K411" s="58"/>
      <c r="L411" s="59"/>
      <c r="M411" s="58"/>
      <c r="N411" s="58"/>
      <c r="O411" s="51"/>
      <c r="P411" s="51"/>
      <c r="Q411" s="37"/>
      <c r="R411" s="70"/>
      <c r="S411" s="70"/>
      <c r="T411" s="70"/>
      <c r="U411" s="71"/>
      <c r="V411" s="73"/>
      <c r="W411" s="75"/>
      <c r="X411" s="117"/>
      <c r="Y411" s="111"/>
      <c r="Z411" s="111"/>
      <c r="AH411" s="18"/>
      <c r="AI411" s="18"/>
    </row>
    <row r="412" spans="1:35">
      <c r="A412" s="51"/>
      <c r="B412" s="51"/>
      <c r="C412" s="51"/>
      <c r="D412" s="51"/>
      <c r="E412" s="51"/>
      <c r="F412" s="55"/>
      <c r="G412" s="56"/>
      <c r="H412" s="57"/>
      <c r="I412" s="51"/>
      <c r="J412" s="51"/>
      <c r="K412" s="58"/>
      <c r="L412" s="59"/>
      <c r="M412" s="58"/>
      <c r="N412" s="58"/>
      <c r="O412" s="51"/>
      <c r="P412" s="51"/>
      <c r="Q412" s="37"/>
      <c r="R412" s="70"/>
      <c r="S412" s="70"/>
      <c r="T412" s="70"/>
      <c r="U412" s="71"/>
      <c r="V412" s="73"/>
      <c r="W412" s="75"/>
      <c r="X412" s="117"/>
      <c r="Y412" s="111"/>
      <c r="Z412" s="111"/>
      <c r="AH412" s="18"/>
      <c r="AI412" s="18"/>
    </row>
    <row r="413" spans="1:35">
      <c r="A413" s="51"/>
      <c r="B413" s="51"/>
      <c r="C413" s="51"/>
      <c r="D413" s="51"/>
      <c r="E413" s="51"/>
      <c r="F413" s="55"/>
      <c r="G413" s="56"/>
      <c r="H413" s="57"/>
      <c r="I413" s="51"/>
      <c r="J413" s="51"/>
      <c r="K413" s="58"/>
      <c r="L413" s="59"/>
      <c r="M413" s="58"/>
      <c r="N413" s="58"/>
      <c r="O413" s="51"/>
      <c r="P413" s="51"/>
      <c r="Q413" s="37"/>
      <c r="R413" s="70"/>
      <c r="S413" s="70"/>
      <c r="T413" s="70"/>
      <c r="U413" s="71"/>
      <c r="V413" s="73"/>
      <c r="W413" s="75"/>
      <c r="X413" s="117"/>
      <c r="Y413" s="111"/>
      <c r="Z413" s="111"/>
      <c r="AH413" s="18"/>
      <c r="AI413" s="18"/>
    </row>
    <row r="414" spans="1:35">
      <c r="A414" s="51"/>
      <c r="B414" s="51"/>
      <c r="C414" s="51"/>
      <c r="D414" s="51"/>
      <c r="E414" s="51"/>
      <c r="F414" s="55"/>
      <c r="G414" s="56"/>
      <c r="H414" s="57"/>
      <c r="I414" s="51"/>
      <c r="J414" s="51"/>
      <c r="K414" s="58"/>
      <c r="L414" s="59"/>
      <c r="M414" s="58"/>
      <c r="N414" s="58"/>
      <c r="O414" s="51"/>
      <c r="P414" s="51"/>
      <c r="Q414" s="37"/>
      <c r="R414" s="70"/>
      <c r="S414" s="70"/>
      <c r="T414" s="70"/>
      <c r="U414" s="71"/>
      <c r="V414" s="73"/>
      <c r="W414" s="75"/>
      <c r="X414" s="117"/>
      <c r="Y414" s="111"/>
      <c r="Z414" s="111"/>
      <c r="AH414" s="18"/>
      <c r="AI414" s="18"/>
    </row>
    <row r="415" spans="1:35">
      <c r="A415" s="51"/>
      <c r="B415" s="51"/>
      <c r="C415" s="51"/>
      <c r="D415" s="51"/>
      <c r="E415" s="51"/>
      <c r="F415" s="55"/>
      <c r="G415" s="56"/>
      <c r="H415" s="57"/>
      <c r="I415" s="51"/>
      <c r="J415" s="51"/>
      <c r="K415" s="58"/>
      <c r="L415" s="59"/>
      <c r="M415" s="58"/>
      <c r="N415" s="58"/>
      <c r="O415" s="51"/>
      <c r="P415" s="51"/>
      <c r="Q415" s="37"/>
      <c r="R415" s="70"/>
      <c r="S415" s="70"/>
      <c r="T415" s="70"/>
      <c r="U415" s="71"/>
      <c r="V415" s="73"/>
      <c r="W415" s="75"/>
      <c r="X415" s="117"/>
      <c r="Y415" s="111"/>
      <c r="Z415" s="111"/>
      <c r="AH415" s="18"/>
      <c r="AI415" s="18"/>
    </row>
    <row r="416" spans="1:35">
      <c r="A416" s="51"/>
      <c r="B416" s="51"/>
      <c r="C416" s="51"/>
      <c r="D416" s="51"/>
      <c r="E416" s="51"/>
      <c r="F416" s="55"/>
      <c r="G416" s="56"/>
      <c r="H416" s="57"/>
      <c r="I416" s="51"/>
      <c r="J416" s="51"/>
      <c r="K416" s="58"/>
      <c r="L416" s="59"/>
      <c r="M416" s="58"/>
      <c r="N416" s="58"/>
      <c r="O416" s="51"/>
      <c r="P416" s="51"/>
      <c r="Q416" s="37"/>
      <c r="R416" s="70"/>
      <c r="S416" s="70"/>
      <c r="T416" s="70"/>
      <c r="U416" s="71"/>
      <c r="V416" s="73"/>
      <c r="W416" s="75"/>
      <c r="X416" s="117"/>
      <c r="Y416" s="111"/>
      <c r="Z416" s="111"/>
      <c r="AH416" s="18"/>
      <c r="AI416" s="18"/>
    </row>
    <row r="417" spans="1:35">
      <c r="A417" s="51"/>
      <c r="B417" s="51"/>
      <c r="C417" s="51"/>
      <c r="D417" s="51"/>
      <c r="E417" s="51"/>
      <c r="F417" s="55"/>
      <c r="G417" s="56"/>
      <c r="H417" s="57"/>
      <c r="I417" s="51"/>
      <c r="J417" s="51"/>
      <c r="K417" s="58"/>
      <c r="L417" s="59"/>
      <c r="M417" s="58"/>
      <c r="N417" s="58"/>
      <c r="O417" s="51"/>
      <c r="P417" s="51"/>
      <c r="Q417" s="37"/>
      <c r="R417" s="70"/>
      <c r="S417" s="70"/>
      <c r="T417" s="70"/>
      <c r="U417" s="71"/>
      <c r="V417" s="73"/>
      <c r="W417" s="75"/>
      <c r="X417" s="117"/>
      <c r="Y417" s="111"/>
      <c r="Z417" s="111"/>
      <c r="AH417" s="18"/>
      <c r="AI417" s="18"/>
    </row>
    <row r="418" spans="1:35">
      <c r="A418" s="51"/>
      <c r="B418" s="51"/>
      <c r="C418" s="51"/>
      <c r="D418" s="51"/>
      <c r="E418" s="51"/>
      <c r="F418" s="55"/>
      <c r="G418" s="56"/>
      <c r="H418" s="57"/>
      <c r="I418" s="51"/>
      <c r="J418" s="51"/>
      <c r="K418" s="58"/>
      <c r="L418" s="59"/>
      <c r="M418" s="58"/>
      <c r="N418" s="58"/>
      <c r="O418" s="51"/>
      <c r="P418" s="51"/>
      <c r="Q418" s="37"/>
      <c r="R418" s="70"/>
      <c r="S418" s="70"/>
      <c r="T418" s="70"/>
      <c r="U418" s="71"/>
      <c r="V418" s="73"/>
      <c r="W418" s="75"/>
      <c r="X418" s="117"/>
      <c r="Y418" s="111"/>
      <c r="Z418" s="111"/>
      <c r="AH418" s="18"/>
      <c r="AI418" s="18"/>
    </row>
    <row r="419" spans="1:35">
      <c r="A419" s="51"/>
      <c r="B419" s="51"/>
      <c r="C419" s="51"/>
      <c r="D419" s="51"/>
      <c r="E419" s="51"/>
      <c r="F419" s="55"/>
      <c r="G419" s="56"/>
      <c r="H419" s="57"/>
      <c r="I419" s="51"/>
      <c r="J419" s="51"/>
      <c r="K419" s="58"/>
      <c r="L419" s="59"/>
      <c r="M419" s="58"/>
      <c r="N419" s="58"/>
      <c r="O419" s="51"/>
      <c r="P419" s="51"/>
      <c r="Q419" s="37"/>
      <c r="R419" s="70"/>
      <c r="S419" s="70"/>
      <c r="T419" s="70"/>
      <c r="U419" s="71"/>
      <c r="V419" s="73"/>
      <c r="W419" s="75"/>
      <c r="X419" s="117"/>
      <c r="Y419" s="111"/>
      <c r="Z419" s="111"/>
      <c r="AH419" s="18"/>
      <c r="AI419" s="18"/>
    </row>
    <row r="420" spans="1:35">
      <c r="A420" s="51"/>
      <c r="B420" s="51"/>
      <c r="C420" s="51"/>
      <c r="D420" s="51"/>
      <c r="E420" s="51"/>
      <c r="F420" s="55"/>
      <c r="G420" s="56"/>
      <c r="H420" s="57"/>
      <c r="I420" s="51"/>
      <c r="J420" s="51"/>
      <c r="K420" s="58"/>
      <c r="L420" s="59"/>
      <c r="M420" s="58"/>
      <c r="N420" s="58"/>
      <c r="O420" s="51"/>
      <c r="P420" s="51"/>
      <c r="Q420" s="37"/>
      <c r="R420" s="70"/>
      <c r="S420" s="70"/>
      <c r="T420" s="70"/>
      <c r="U420" s="71"/>
      <c r="V420" s="73"/>
      <c r="W420" s="75"/>
      <c r="X420" s="117"/>
      <c r="Y420" s="111"/>
      <c r="Z420" s="111"/>
      <c r="AH420" s="18"/>
      <c r="AI420" s="18"/>
    </row>
    <row r="421" spans="1:35">
      <c r="A421" s="51"/>
      <c r="B421" s="51"/>
      <c r="C421" s="51"/>
      <c r="D421" s="51"/>
      <c r="E421" s="51"/>
      <c r="F421" s="55"/>
      <c r="G421" s="56"/>
      <c r="H421" s="57"/>
      <c r="I421" s="51"/>
      <c r="J421" s="51"/>
      <c r="K421" s="58"/>
      <c r="L421" s="59"/>
      <c r="M421" s="58"/>
      <c r="N421" s="58"/>
      <c r="O421" s="51"/>
      <c r="P421" s="51"/>
      <c r="Q421" s="37"/>
      <c r="R421" s="70"/>
      <c r="S421" s="70"/>
      <c r="T421" s="70"/>
      <c r="U421" s="71"/>
      <c r="V421" s="73"/>
      <c r="W421" s="75"/>
      <c r="X421" s="117"/>
      <c r="Y421" s="111"/>
      <c r="Z421" s="111"/>
      <c r="AH421" s="18"/>
      <c r="AI421" s="18"/>
    </row>
    <row r="422" spans="1:35">
      <c r="A422" s="51"/>
      <c r="B422" s="51"/>
      <c r="C422" s="51"/>
      <c r="D422" s="51"/>
      <c r="E422" s="51"/>
      <c r="F422" s="55"/>
      <c r="G422" s="56"/>
      <c r="H422" s="57"/>
      <c r="I422" s="51"/>
      <c r="J422" s="51"/>
      <c r="K422" s="58"/>
      <c r="L422" s="59"/>
      <c r="M422" s="58"/>
      <c r="N422" s="58"/>
      <c r="O422" s="51"/>
      <c r="P422" s="51"/>
      <c r="Q422" s="37"/>
      <c r="R422" s="70"/>
      <c r="S422" s="70"/>
      <c r="T422" s="70"/>
      <c r="U422" s="71"/>
      <c r="V422" s="73"/>
      <c r="W422" s="75"/>
      <c r="X422" s="117"/>
      <c r="Y422" s="111"/>
      <c r="Z422" s="111"/>
      <c r="AH422" s="18"/>
      <c r="AI422" s="18"/>
    </row>
    <row r="423" spans="1:35">
      <c r="A423" s="51"/>
      <c r="B423" s="51"/>
      <c r="C423" s="51"/>
      <c r="D423" s="51"/>
      <c r="E423" s="51"/>
      <c r="F423" s="55"/>
      <c r="G423" s="56"/>
      <c r="H423" s="57"/>
      <c r="I423" s="51"/>
      <c r="J423" s="51"/>
      <c r="K423" s="58"/>
      <c r="L423" s="59"/>
      <c r="M423" s="58"/>
      <c r="N423" s="58"/>
      <c r="O423" s="51"/>
      <c r="P423" s="51"/>
      <c r="Q423" s="37"/>
      <c r="R423" s="70"/>
      <c r="S423" s="70"/>
      <c r="T423" s="70"/>
      <c r="U423" s="71"/>
      <c r="V423" s="73"/>
      <c r="W423" s="75"/>
      <c r="X423" s="117"/>
      <c r="Y423" s="111"/>
      <c r="Z423" s="111"/>
      <c r="AH423" s="18"/>
      <c r="AI423" s="18"/>
    </row>
    <row r="424" spans="1:35">
      <c r="A424" s="51"/>
      <c r="B424" s="51"/>
      <c r="C424" s="51"/>
      <c r="D424" s="51"/>
      <c r="E424" s="51"/>
      <c r="F424" s="55"/>
      <c r="G424" s="56"/>
      <c r="H424" s="57"/>
      <c r="I424" s="51"/>
      <c r="J424" s="51"/>
      <c r="K424" s="58"/>
      <c r="L424" s="59"/>
      <c r="M424" s="58"/>
      <c r="N424" s="58"/>
      <c r="O424" s="51"/>
      <c r="P424" s="51"/>
      <c r="Q424" s="37"/>
      <c r="R424" s="70"/>
      <c r="S424" s="70"/>
      <c r="T424" s="70"/>
      <c r="U424" s="71"/>
      <c r="V424" s="73"/>
      <c r="W424" s="75"/>
      <c r="X424" s="117"/>
      <c r="Y424" s="111"/>
      <c r="Z424" s="111"/>
      <c r="AH424" s="18"/>
      <c r="AI424" s="18"/>
    </row>
    <row r="425" spans="1:35">
      <c r="A425" s="51"/>
      <c r="B425" s="51"/>
      <c r="C425" s="51"/>
      <c r="D425" s="51"/>
      <c r="E425" s="51"/>
      <c r="F425" s="55"/>
      <c r="G425" s="56"/>
      <c r="H425" s="57"/>
      <c r="I425" s="51"/>
      <c r="J425" s="51"/>
      <c r="K425" s="58"/>
      <c r="L425" s="59"/>
      <c r="M425" s="58"/>
      <c r="N425" s="58"/>
      <c r="O425" s="51"/>
      <c r="P425" s="51"/>
      <c r="Q425" s="37"/>
      <c r="R425" s="70"/>
      <c r="S425" s="70"/>
      <c r="T425" s="70"/>
      <c r="U425" s="71"/>
      <c r="V425" s="73"/>
      <c r="W425" s="75"/>
      <c r="X425" s="117"/>
      <c r="Y425" s="111"/>
      <c r="Z425" s="111"/>
      <c r="AH425" s="18"/>
      <c r="AI425" s="18"/>
    </row>
    <row r="426" spans="1:35">
      <c r="A426" s="51"/>
      <c r="B426" s="51"/>
      <c r="C426" s="51"/>
      <c r="D426" s="51"/>
      <c r="E426" s="51"/>
      <c r="F426" s="55"/>
      <c r="G426" s="56"/>
      <c r="H426" s="57"/>
      <c r="I426" s="51"/>
      <c r="J426" s="51"/>
      <c r="K426" s="58"/>
      <c r="L426" s="59"/>
      <c r="M426" s="58"/>
      <c r="N426" s="58"/>
      <c r="O426" s="51"/>
      <c r="P426" s="51"/>
      <c r="Q426" s="37"/>
      <c r="R426" s="70"/>
      <c r="S426" s="70"/>
      <c r="T426" s="70"/>
      <c r="U426" s="71"/>
      <c r="V426" s="73"/>
      <c r="W426" s="75"/>
      <c r="X426" s="117"/>
      <c r="Y426" s="111"/>
      <c r="Z426" s="111"/>
      <c r="AH426" s="18"/>
      <c r="AI426" s="18"/>
    </row>
    <row r="427" spans="1:35">
      <c r="A427" s="51"/>
      <c r="B427" s="51"/>
      <c r="C427" s="51"/>
      <c r="D427" s="51"/>
      <c r="E427" s="51"/>
      <c r="F427" s="55"/>
      <c r="G427" s="56"/>
      <c r="H427" s="57"/>
      <c r="I427" s="51"/>
      <c r="J427" s="51"/>
      <c r="K427" s="58"/>
      <c r="L427" s="59"/>
      <c r="M427" s="58"/>
      <c r="N427" s="58"/>
      <c r="O427" s="51"/>
      <c r="P427" s="51"/>
      <c r="Q427" s="37"/>
      <c r="R427" s="70"/>
      <c r="S427" s="70"/>
      <c r="T427" s="70"/>
      <c r="U427" s="71"/>
      <c r="V427" s="73"/>
      <c r="W427" s="75"/>
      <c r="X427" s="117"/>
      <c r="Y427" s="111"/>
      <c r="Z427" s="111"/>
      <c r="AH427" s="18"/>
      <c r="AI427" s="18"/>
    </row>
    <row r="428" spans="1:35">
      <c r="A428" s="51"/>
      <c r="B428" s="51"/>
      <c r="C428" s="51"/>
      <c r="D428" s="51"/>
      <c r="E428" s="51"/>
      <c r="F428" s="55"/>
      <c r="G428" s="56"/>
      <c r="H428" s="57"/>
      <c r="I428" s="51"/>
      <c r="J428" s="51"/>
      <c r="K428" s="58"/>
      <c r="L428" s="59"/>
      <c r="M428" s="58"/>
      <c r="N428" s="58"/>
      <c r="O428" s="51"/>
      <c r="P428" s="51"/>
      <c r="Q428" s="37"/>
      <c r="R428" s="70"/>
      <c r="S428" s="70"/>
      <c r="T428" s="70"/>
      <c r="U428" s="71"/>
      <c r="V428" s="73"/>
      <c r="W428" s="75"/>
      <c r="X428" s="117"/>
      <c r="Y428" s="111"/>
      <c r="Z428" s="111"/>
      <c r="AH428" s="18"/>
      <c r="AI428" s="18"/>
    </row>
    <row r="429" spans="1:35">
      <c r="A429" s="51"/>
      <c r="B429" s="51"/>
      <c r="C429" s="51"/>
      <c r="D429" s="51"/>
      <c r="E429" s="51"/>
      <c r="F429" s="55"/>
      <c r="G429" s="56"/>
      <c r="H429" s="57"/>
      <c r="I429" s="51"/>
      <c r="J429" s="51"/>
      <c r="K429" s="58"/>
      <c r="L429" s="59"/>
      <c r="M429" s="58"/>
      <c r="N429" s="58"/>
      <c r="O429" s="51"/>
      <c r="P429" s="51"/>
      <c r="Q429" s="37"/>
      <c r="R429" s="70"/>
      <c r="S429" s="70"/>
      <c r="T429" s="70"/>
      <c r="U429" s="71"/>
      <c r="V429" s="73"/>
      <c r="W429" s="75"/>
      <c r="X429" s="117"/>
      <c r="Y429" s="111"/>
      <c r="Z429" s="111"/>
      <c r="AH429" s="18"/>
      <c r="AI429" s="18"/>
    </row>
    <row r="430" spans="1:35">
      <c r="A430" s="51"/>
      <c r="B430" s="51"/>
      <c r="C430" s="51"/>
      <c r="D430" s="51"/>
      <c r="E430" s="51"/>
      <c r="F430" s="55"/>
      <c r="G430" s="56"/>
      <c r="H430" s="57"/>
      <c r="I430" s="51"/>
      <c r="J430" s="51"/>
      <c r="K430" s="58"/>
      <c r="L430" s="59"/>
      <c r="M430" s="58"/>
      <c r="N430" s="58"/>
      <c r="O430" s="51"/>
      <c r="P430" s="51"/>
      <c r="Q430" s="37"/>
      <c r="R430" s="70"/>
      <c r="S430" s="70"/>
      <c r="T430" s="70"/>
      <c r="U430" s="71"/>
      <c r="V430" s="73"/>
      <c r="W430" s="75"/>
      <c r="X430" s="117"/>
      <c r="Y430" s="111"/>
      <c r="Z430" s="111"/>
      <c r="AH430" s="18"/>
      <c r="AI430" s="18"/>
    </row>
    <row r="431" spans="1:35">
      <c r="A431" s="51"/>
      <c r="B431" s="51"/>
      <c r="C431" s="51"/>
      <c r="D431" s="51"/>
      <c r="E431" s="51"/>
      <c r="F431" s="55"/>
      <c r="G431" s="56"/>
      <c r="H431" s="57"/>
      <c r="I431" s="51"/>
      <c r="J431" s="51"/>
      <c r="K431" s="58"/>
      <c r="L431" s="59"/>
      <c r="M431" s="58"/>
      <c r="N431" s="58"/>
      <c r="O431" s="51"/>
      <c r="P431" s="51"/>
      <c r="Q431" s="37"/>
      <c r="R431" s="70"/>
      <c r="S431" s="70"/>
      <c r="T431" s="70"/>
      <c r="U431" s="71"/>
      <c r="V431" s="73"/>
      <c r="W431" s="75"/>
      <c r="X431" s="117"/>
      <c r="Y431" s="111"/>
      <c r="Z431" s="111"/>
      <c r="AH431" s="18"/>
      <c r="AI431" s="18"/>
    </row>
    <row r="432" spans="1:35">
      <c r="A432" s="51"/>
      <c r="B432" s="51"/>
      <c r="C432" s="51"/>
      <c r="D432" s="51"/>
      <c r="E432" s="51"/>
      <c r="F432" s="55"/>
      <c r="G432" s="56"/>
      <c r="H432" s="57"/>
      <c r="I432" s="51"/>
      <c r="J432" s="51"/>
      <c r="K432" s="58"/>
      <c r="L432" s="59"/>
      <c r="M432" s="58"/>
      <c r="N432" s="58"/>
      <c r="O432" s="51"/>
      <c r="P432" s="51"/>
      <c r="Q432" s="37"/>
      <c r="R432" s="70"/>
      <c r="S432" s="70"/>
      <c r="T432" s="70"/>
      <c r="U432" s="71"/>
      <c r="V432" s="73"/>
      <c r="W432" s="75"/>
      <c r="X432" s="117"/>
      <c r="Y432" s="111"/>
      <c r="Z432" s="111"/>
      <c r="AH432" s="18"/>
      <c r="AI432" s="18"/>
    </row>
    <row r="433" spans="1:35">
      <c r="A433" s="51"/>
      <c r="B433" s="51"/>
      <c r="C433" s="51"/>
      <c r="D433" s="51"/>
      <c r="E433" s="51"/>
      <c r="F433" s="55"/>
      <c r="G433" s="56"/>
      <c r="H433" s="57"/>
      <c r="I433" s="51"/>
      <c r="J433" s="51"/>
      <c r="K433" s="58"/>
      <c r="L433" s="59"/>
      <c r="M433" s="58"/>
      <c r="N433" s="58"/>
      <c r="O433" s="51"/>
      <c r="P433" s="51"/>
      <c r="Q433" s="37"/>
      <c r="R433" s="70"/>
      <c r="S433" s="70"/>
      <c r="T433" s="70"/>
      <c r="U433" s="71"/>
      <c r="V433" s="73"/>
      <c r="W433" s="75"/>
      <c r="X433" s="117"/>
      <c r="Y433" s="111"/>
      <c r="Z433" s="111"/>
      <c r="AH433" s="18"/>
      <c r="AI433" s="18"/>
    </row>
    <row r="434" spans="1:35">
      <c r="A434" s="51"/>
      <c r="B434" s="51"/>
      <c r="C434" s="51"/>
      <c r="D434" s="51"/>
      <c r="E434" s="51"/>
      <c r="F434" s="55"/>
      <c r="G434" s="56"/>
      <c r="H434" s="57"/>
      <c r="I434" s="51"/>
      <c r="J434" s="51"/>
      <c r="K434" s="58"/>
      <c r="L434" s="59"/>
      <c r="M434" s="58"/>
      <c r="N434" s="58"/>
      <c r="O434" s="51"/>
      <c r="P434" s="51"/>
      <c r="Q434" s="37"/>
      <c r="R434" s="70"/>
      <c r="S434" s="70"/>
      <c r="T434" s="70"/>
      <c r="U434" s="71"/>
      <c r="V434" s="73"/>
      <c r="W434" s="75"/>
      <c r="X434" s="117"/>
      <c r="Y434" s="111"/>
      <c r="Z434" s="111"/>
      <c r="AH434" s="18"/>
      <c r="AI434" s="18"/>
    </row>
    <row r="435" spans="1:35">
      <c r="A435" s="51"/>
      <c r="B435" s="51"/>
      <c r="C435" s="51"/>
      <c r="D435" s="51"/>
      <c r="E435" s="51"/>
      <c r="F435" s="55"/>
      <c r="G435" s="56"/>
      <c r="H435" s="57"/>
      <c r="I435" s="51"/>
      <c r="J435" s="51"/>
      <c r="K435" s="58"/>
      <c r="L435" s="59"/>
      <c r="M435" s="58"/>
      <c r="N435" s="58"/>
      <c r="O435" s="51"/>
      <c r="P435" s="51"/>
      <c r="Q435" s="37"/>
      <c r="R435" s="70"/>
      <c r="S435" s="70"/>
      <c r="T435" s="70"/>
      <c r="U435" s="71"/>
      <c r="V435" s="73"/>
      <c r="W435" s="75"/>
      <c r="X435" s="117"/>
      <c r="Y435" s="111"/>
      <c r="Z435" s="111"/>
      <c r="AH435" s="18"/>
      <c r="AI435" s="18"/>
    </row>
    <row r="436" spans="1:35">
      <c r="A436" s="51"/>
      <c r="B436" s="51"/>
      <c r="C436" s="51"/>
      <c r="D436" s="51"/>
      <c r="E436" s="51"/>
      <c r="F436" s="55"/>
      <c r="G436" s="56"/>
      <c r="H436" s="57"/>
      <c r="I436" s="51"/>
      <c r="J436" s="51"/>
      <c r="K436" s="58"/>
      <c r="L436" s="59"/>
      <c r="M436" s="58"/>
      <c r="N436" s="58"/>
      <c r="O436" s="51"/>
      <c r="P436" s="51"/>
      <c r="Q436" s="37"/>
      <c r="R436" s="70"/>
      <c r="S436" s="70"/>
      <c r="T436" s="70"/>
      <c r="U436" s="71"/>
      <c r="V436" s="73"/>
      <c r="W436" s="75"/>
      <c r="X436" s="117"/>
      <c r="Y436" s="111"/>
      <c r="Z436" s="111"/>
      <c r="AH436" s="18"/>
      <c r="AI436" s="18"/>
    </row>
    <row r="437" spans="1:35">
      <c r="A437" s="51"/>
      <c r="B437" s="51"/>
      <c r="C437" s="51"/>
      <c r="D437" s="51"/>
      <c r="E437" s="51"/>
      <c r="F437" s="55"/>
      <c r="G437" s="56"/>
      <c r="H437" s="57"/>
      <c r="I437" s="51"/>
      <c r="J437" s="51"/>
      <c r="K437" s="58"/>
      <c r="L437" s="59"/>
      <c r="M437" s="58"/>
      <c r="N437" s="58"/>
      <c r="O437" s="51"/>
      <c r="P437" s="51"/>
      <c r="Q437" s="37"/>
      <c r="R437" s="70"/>
      <c r="S437" s="70"/>
      <c r="T437" s="70"/>
      <c r="U437" s="71"/>
      <c r="V437" s="73"/>
      <c r="W437" s="75"/>
      <c r="X437" s="117"/>
      <c r="Y437" s="111"/>
      <c r="Z437" s="111"/>
      <c r="AH437" s="18"/>
      <c r="AI437" s="18"/>
    </row>
    <row r="438" spans="1:35">
      <c r="A438" s="51"/>
      <c r="B438" s="51"/>
      <c r="C438" s="51"/>
      <c r="D438" s="51"/>
      <c r="E438" s="51"/>
      <c r="F438" s="55"/>
      <c r="G438" s="56"/>
      <c r="H438" s="57"/>
      <c r="I438" s="51"/>
      <c r="J438" s="51"/>
      <c r="K438" s="58"/>
      <c r="L438" s="59"/>
      <c r="M438" s="58"/>
      <c r="N438" s="58"/>
      <c r="O438" s="51"/>
      <c r="P438" s="51"/>
      <c r="Q438" s="37"/>
      <c r="R438" s="70"/>
      <c r="S438" s="70"/>
      <c r="T438" s="70"/>
      <c r="U438" s="71"/>
      <c r="V438" s="73"/>
      <c r="W438" s="75"/>
      <c r="X438" s="117"/>
      <c r="Y438" s="111"/>
      <c r="Z438" s="111"/>
      <c r="AH438" s="18"/>
      <c r="AI438" s="18"/>
    </row>
    <row r="439" spans="1:35">
      <c r="A439" s="51"/>
      <c r="B439" s="51"/>
      <c r="C439" s="51"/>
      <c r="D439" s="51"/>
      <c r="E439" s="51"/>
      <c r="F439" s="55"/>
      <c r="G439" s="56"/>
      <c r="H439" s="57"/>
      <c r="I439" s="51"/>
      <c r="J439" s="51"/>
      <c r="K439" s="58"/>
      <c r="L439" s="59"/>
      <c r="M439" s="58"/>
      <c r="N439" s="58"/>
      <c r="O439" s="51"/>
      <c r="P439" s="51"/>
      <c r="Q439" s="37"/>
      <c r="R439" s="70"/>
      <c r="S439" s="70"/>
      <c r="T439" s="70"/>
      <c r="U439" s="71"/>
      <c r="V439" s="73"/>
      <c r="W439" s="75"/>
      <c r="X439" s="117"/>
      <c r="Y439" s="111"/>
      <c r="Z439" s="111"/>
      <c r="AH439" s="18"/>
      <c r="AI439" s="18"/>
    </row>
    <row r="440" spans="1:35">
      <c r="A440" s="51"/>
      <c r="B440" s="51"/>
      <c r="C440" s="51"/>
      <c r="D440" s="51"/>
      <c r="E440" s="51"/>
      <c r="F440" s="55"/>
      <c r="G440" s="56"/>
      <c r="H440" s="57"/>
      <c r="I440" s="51"/>
      <c r="J440" s="51"/>
      <c r="K440" s="58"/>
      <c r="L440" s="59"/>
      <c r="M440" s="58"/>
      <c r="N440" s="58"/>
      <c r="O440" s="51"/>
      <c r="P440" s="51"/>
      <c r="Q440" s="37"/>
      <c r="R440" s="70"/>
      <c r="S440" s="70"/>
      <c r="T440" s="70"/>
      <c r="U440" s="71"/>
      <c r="V440" s="73"/>
      <c r="W440" s="75"/>
      <c r="X440" s="117"/>
      <c r="Y440" s="111"/>
      <c r="Z440" s="111"/>
      <c r="AH440" s="18"/>
      <c r="AI440" s="18"/>
    </row>
    <row r="441" spans="1:35">
      <c r="A441" s="51"/>
      <c r="B441" s="51"/>
      <c r="C441" s="51"/>
      <c r="D441" s="51"/>
      <c r="E441" s="51"/>
      <c r="F441" s="55"/>
      <c r="G441" s="56"/>
      <c r="H441" s="57"/>
      <c r="I441" s="51"/>
      <c r="J441" s="51"/>
      <c r="K441" s="58"/>
      <c r="L441" s="59"/>
      <c r="M441" s="58"/>
      <c r="N441" s="58"/>
      <c r="O441" s="51"/>
      <c r="P441" s="51"/>
      <c r="Q441" s="37"/>
      <c r="R441" s="70"/>
      <c r="S441" s="70"/>
      <c r="T441" s="70"/>
      <c r="U441" s="71"/>
      <c r="V441" s="73"/>
      <c r="W441" s="75"/>
      <c r="X441" s="117"/>
      <c r="Y441" s="111"/>
      <c r="Z441" s="111"/>
      <c r="AH441" s="18"/>
      <c r="AI441" s="18"/>
    </row>
    <row r="442" spans="1:35">
      <c r="A442" s="51"/>
      <c r="B442" s="51"/>
      <c r="C442" s="51"/>
      <c r="D442" s="51"/>
      <c r="E442" s="51"/>
      <c r="F442" s="55"/>
      <c r="G442" s="56"/>
      <c r="H442" s="57"/>
      <c r="I442" s="51"/>
      <c r="J442" s="51"/>
      <c r="K442" s="58"/>
      <c r="L442" s="59"/>
      <c r="M442" s="58"/>
      <c r="N442" s="58"/>
      <c r="O442" s="51"/>
      <c r="P442" s="51"/>
      <c r="Q442" s="37"/>
      <c r="R442" s="70"/>
      <c r="S442" s="70"/>
      <c r="T442" s="70"/>
      <c r="U442" s="71"/>
      <c r="V442" s="73"/>
      <c r="W442" s="75"/>
      <c r="X442" s="117"/>
      <c r="Y442" s="111"/>
      <c r="Z442" s="111"/>
      <c r="AH442" s="18"/>
      <c r="AI442" s="18"/>
    </row>
    <row r="443" spans="1:35">
      <c r="A443" s="51"/>
      <c r="B443" s="51"/>
      <c r="C443" s="51"/>
      <c r="D443" s="51"/>
      <c r="E443" s="51"/>
      <c r="F443" s="55"/>
      <c r="G443" s="56"/>
      <c r="H443" s="57"/>
      <c r="I443" s="51"/>
      <c r="J443" s="51"/>
      <c r="K443" s="58"/>
      <c r="L443" s="59"/>
      <c r="M443" s="58"/>
      <c r="N443" s="58"/>
      <c r="O443" s="51"/>
      <c r="P443" s="51"/>
      <c r="Q443" s="37"/>
      <c r="R443" s="70"/>
      <c r="S443" s="70"/>
      <c r="T443" s="70"/>
      <c r="U443" s="71"/>
      <c r="V443" s="73"/>
      <c r="W443" s="75"/>
      <c r="X443" s="117"/>
      <c r="Y443" s="111"/>
      <c r="Z443" s="111"/>
      <c r="AH443" s="18"/>
      <c r="AI443" s="18"/>
    </row>
    <row r="444" spans="1:35">
      <c r="A444" s="51"/>
      <c r="B444" s="51"/>
      <c r="C444" s="51"/>
      <c r="D444" s="51"/>
      <c r="E444" s="51"/>
      <c r="F444" s="55"/>
      <c r="G444" s="56"/>
      <c r="H444" s="57"/>
      <c r="I444" s="51"/>
      <c r="J444" s="51"/>
      <c r="K444" s="58"/>
      <c r="L444" s="59"/>
      <c r="M444" s="58"/>
      <c r="N444" s="58"/>
      <c r="O444" s="51"/>
      <c r="P444" s="51"/>
      <c r="Q444" s="37"/>
      <c r="R444" s="70"/>
      <c r="S444" s="70"/>
      <c r="T444" s="70"/>
      <c r="U444" s="71"/>
      <c r="V444" s="73"/>
      <c r="W444" s="75"/>
      <c r="X444" s="117"/>
      <c r="Y444" s="111"/>
      <c r="Z444" s="111"/>
      <c r="AH444" s="18"/>
      <c r="AI444" s="18"/>
    </row>
    <row r="445" spans="1:35">
      <c r="A445" s="51"/>
      <c r="B445" s="51"/>
      <c r="C445" s="51"/>
      <c r="D445" s="51"/>
      <c r="E445" s="51"/>
      <c r="F445" s="55"/>
      <c r="G445" s="56"/>
      <c r="H445" s="57"/>
      <c r="I445" s="51"/>
      <c r="J445" s="51"/>
      <c r="K445" s="58"/>
      <c r="L445" s="59"/>
      <c r="M445" s="58"/>
      <c r="N445" s="58"/>
      <c r="O445" s="51"/>
      <c r="P445" s="51"/>
      <c r="Q445" s="37"/>
      <c r="R445" s="70"/>
      <c r="S445" s="70"/>
      <c r="T445" s="70"/>
      <c r="U445" s="71"/>
      <c r="V445" s="73"/>
      <c r="W445" s="75"/>
      <c r="X445" s="117"/>
      <c r="Y445" s="111"/>
      <c r="Z445" s="111"/>
      <c r="AH445" s="18"/>
      <c r="AI445" s="18"/>
    </row>
    <row r="446" spans="1:35">
      <c r="A446" s="51"/>
      <c r="B446" s="51"/>
      <c r="C446" s="51"/>
      <c r="D446" s="51"/>
      <c r="E446" s="51"/>
      <c r="F446" s="55"/>
      <c r="G446" s="56"/>
      <c r="H446" s="57"/>
      <c r="I446" s="51"/>
      <c r="J446" s="51"/>
      <c r="K446" s="58"/>
      <c r="L446" s="59"/>
      <c r="M446" s="58"/>
      <c r="N446" s="58"/>
      <c r="O446" s="51"/>
      <c r="P446" s="51"/>
      <c r="Q446" s="37"/>
      <c r="R446" s="70"/>
      <c r="S446" s="70"/>
      <c r="T446" s="70"/>
      <c r="U446" s="71"/>
      <c r="V446" s="73"/>
      <c r="W446" s="75"/>
      <c r="X446" s="117"/>
      <c r="Y446" s="111"/>
      <c r="Z446" s="111"/>
      <c r="AH446" s="18"/>
      <c r="AI446" s="18"/>
    </row>
    <row r="447" spans="1:35">
      <c r="A447" s="51"/>
      <c r="B447" s="51"/>
      <c r="C447" s="51"/>
      <c r="D447" s="51"/>
      <c r="E447" s="51"/>
      <c r="F447" s="55"/>
      <c r="G447" s="56"/>
      <c r="H447" s="57"/>
      <c r="I447" s="51"/>
      <c r="J447" s="51"/>
      <c r="K447" s="58"/>
      <c r="L447" s="59"/>
      <c r="M447" s="58"/>
      <c r="N447" s="58"/>
      <c r="O447" s="51"/>
      <c r="P447" s="51"/>
      <c r="Q447" s="37"/>
      <c r="R447" s="70"/>
      <c r="S447" s="70"/>
      <c r="T447" s="70"/>
      <c r="U447" s="71"/>
      <c r="V447" s="73"/>
      <c r="W447" s="75"/>
      <c r="X447" s="117"/>
      <c r="Y447" s="111"/>
      <c r="Z447" s="111"/>
      <c r="AH447" s="18"/>
      <c r="AI447" s="18"/>
    </row>
    <row r="448" spans="1:35">
      <c r="A448" s="51"/>
      <c r="B448" s="51"/>
      <c r="C448" s="51"/>
      <c r="D448" s="51"/>
      <c r="E448" s="51"/>
      <c r="F448" s="55"/>
      <c r="G448" s="56"/>
      <c r="H448" s="57"/>
      <c r="I448" s="51"/>
      <c r="J448" s="51"/>
      <c r="K448" s="58"/>
      <c r="L448" s="59"/>
      <c r="M448" s="58"/>
      <c r="N448" s="58"/>
      <c r="O448" s="51"/>
      <c r="P448" s="51"/>
      <c r="Q448" s="37"/>
      <c r="R448" s="70"/>
      <c r="S448" s="70"/>
      <c r="T448" s="70"/>
      <c r="U448" s="71"/>
      <c r="V448" s="73"/>
      <c r="W448" s="75"/>
      <c r="X448" s="117"/>
      <c r="Y448" s="111"/>
      <c r="Z448" s="111"/>
      <c r="AH448" s="18"/>
      <c r="AI448" s="18"/>
    </row>
    <row r="449" spans="1:35">
      <c r="A449" s="51"/>
      <c r="B449" s="51"/>
      <c r="C449" s="51"/>
      <c r="D449" s="51"/>
      <c r="E449" s="51"/>
      <c r="F449" s="55"/>
      <c r="G449" s="56"/>
      <c r="H449" s="57"/>
      <c r="I449" s="51"/>
      <c r="J449" s="51"/>
      <c r="K449" s="58"/>
      <c r="L449" s="59"/>
      <c r="M449" s="58"/>
      <c r="N449" s="58"/>
      <c r="O449" s="51"/>
      <c r="P449" s="51"/>
      <c r="Q449" s="37"/>
      <c r="R449" s="70"/>
      <c r="S449" s="70"/>
      <c r="T449" s="70"/>
      <c r="U449" s="71"/>
      <c r="V449" s="73"/>
      <c r="W449" s="75"/>
      <c r="X449" s="117"/>
      <c r="Y449" s="111"/>
      <c r="Z449" s="111"/>
      <c r="AH449" s="18"/>
      <c r="AI449" s="18"/>
    </row>
    <row r="450" spans="1:35">
      <c r="A450" s="51"/>
      <c r="B450" s="51"/>
      <c r="C450" s="51"/>
      <c r="D450" s="51"/>
      <c r="E450" s="51"/>
      <c r="F450" s="55"/>
      <c r="G450" s="56"/>
      <c r="H450" s="57"/>
      <c r="I450" s="51"/>
      <c r="J450" s="51"/>
      <c r="K450" s="58"/>
      <c r="L450" s="59"/>
      <c r="M450" s="58"/>
      <c r="N450" s="58"/>
      <c r="O450" s="51"/>
      <c r="P450" s="51"/>
      <c r="Q450" s="37"/>
      <c r="R450" s="70"/>
      <c r="S450" s="70"/>
      <c r="T450" s="70"/>
      <c r="U450" s="71"/>
      <c r="V450" s="73"/>
      <c r="W450" s="75"/>
      <c r="X450" s="117"/>
      <c r="Y450" s="111"/>
      <c r="Z450" s="111"/>
      <c r="AH450" s="18"/>
      <c r="AI450" s="18"/>
    </row>
    <row r="451" spans="1:35">
      <c r="A451" s="51"/>
      <c r="B451" s="51"/>
      <c r="C451" s="51"/>
      <c r="D451" s="51"/>
      <c r="E451" s="51"/>
      <c r="F451" s="55"/>
      <c r="G451" s="56"/>
      <c r="H451" s="57"/>
      <c r="I451" s="51"/>
      <c r="J451" s="51"/>
      <c r="K451" s="58"/>
      <c r="L451" s="59"/>
      <c r="M451" s="58"/>
      <c r="N451" s="58"/>
      <c r="O451" s="51"/>
      <c r="P451" s="51"/>
      <c r="Q451" s="37"/>
      <c r="R451" s="70"/>
      <c r="S451" s="70"/>
      <c r="T451" s="70"/>
      <c r="U451" s="71"/>
      <c r="V451" s="73"/>
      <c r="W451" s="75"/>
      <c r="X451" s="117"/>
      <c r="Y451" s="111"/>
      <c r="Z451" s="111"/>
      <c r="AH451" s="18"/>
      <c r="AI451" s="18"/>
    </row>
    <row r="452" spans="1:35">
      <c r="A452" s="51"/>
      <c r="B452" s="51"/>
      <c r="C452" s="51"/>
      <c r="D452" s="51"/>
      <c r="E452" s="51"/>
      <c r="F452" s="55"/>
      <c r="G452" s="56"/>
      <c r="H452" s="57"/>
      <c r="I452" s="51"/>
      <c r="J452" s="51"/>
      <c r="K452" s="58"/>
      <c r="L452" s="59"/>
      <c r="M452" s="58"/>
      <c r="N452" s="58"/>
      <c r="O452" s="51"/>
      <c r="P452" s="51"/>
      <c r="Q452" s="37"/>
      <c r="R452" s="70"/>
      <c r="S452" s="70"/>
      <c r="T452" s="70"/>
      <c r="U452" s="71"/>
      <c r="V452" s="73"/>
      <c r="W452" s="75"/>
      <c r="X452" s="117"/>
      <c r="Y452" s="111"/>
      <c r="Z452" s="111"/>
      <c r="AH452" s="18"/>
      <c r="AI452" s="18"/>
    </row>
    <row r="453" spans="1:35">
      <c r="A453" s="51"/>
      <c r="B453" s="51"/>
      <c r="C453" s="51"/>
      <c r="D453" s="51"/>
      <c r="E453" s="51"/>
      <c r="F453" s="55"/>
      <c r="G453" s="56"/>
      <c r="H453" s="57"/>
      <c r="I453" s="51"/>
      <c r="J453" s="51"/>
      <c r="K453" s="58"/>
      <c r="L453" s="59"/>
      <c r="M453" s="58"/>
      <c r="N453" s="58"/>
      <c r="O453" s="51"/>
      <c r="P453" s="51"/>
      <c r="Q453" s="37"/>
      <c r="R453" s="70"/>
      <c r="S453" s="70"/>
      <c r="T453" s="70"/>
      <c r="U453" s="71"/>
      <c r="V453" s="73"/>
      <c r="W453" s="75"/>
      <c r="X453" s="117"/>
      <c r="Y453" s="111"/>
      <c r="Z453" s="111"/>
      <c r="AH453" s="18"/>
      <c r="AI453" s="18"/>
    </row>
    <row r="454" spans="1:35">
      <c r="A454" s="51"/>
      <c r="B454" s="51"/>
      <c r="C454" s="51"/>
      <c r="D454" s="51"/>
      <c r="E454" s="51"/>
      <c r="F454" s="55"/>
      <c r="G454" s="56"/>
      <c r="H454" s="57"/>
      <c r="I454" s="51"/>
      <c r="J454" s="51"/>
      <c r="K454" s="58"/>
      <c r="L454" s="59"/>
      <c r="M454" s="58"/>
      <c r="N454" s="58"/>
      <c r="O454" s="51"/>
      <c r="P454" s="51"/>
      <c r="Q454" s="37"/>
      <c r="R454" s="70"/>
      <c r="S454" s="70"/>
      <c r="T454" s="70"/>
      <c r="U454" s="71"/>
      <c r="V454" s="73"/>
      <c r="W454" s="75"/>
      <c r="X454" s="117"/>
      <c r="Y454" s="111"/>
      <c r="Z454" s="111"/>
      <c r="AH454" s="18"/>
      <c r="AI454" s="18"/>
    </row>
    <row r="455" spans="1:35">
      <c r="A455" s="51"/>
      <c r="B455" s="51"/>
      <c r="C455" s="51"/>
      <c r="D455" s="51"/>
      <c r="E455" s="51"/>
      <c r="F455" s="55"/>
      <c r="G455" s="56"/>
      <c r="H455" s="57"/>
      <c r="I455" s="51"/>
      <c r="J455" s="51"/>
      <c r="K455" s="58"/>
      <c r="L455" s="59"/>
      <c r="M455" s="58"/>
      <c r="N455" s="58"/>
      <c r="O455" s="51"/>
      <c r="P455" s="51"/>
      <c r="Q455" s="37"/>
      <c r="R455" s="70"/>
      <c r="S455" s="70"/>
      <c r="T455" s="70"/>
      <c r="U455" s="71"/>
      <c r="V455" s="73"/>
      <c r="W455" s="75"/>
      <c r="X455" s="117"/>
      <c r="Y455" s="111"/>
      <c r="Z455" s="111"/>
      <c r="AH455" s="18"/>
      <c r="AI455" s="18"/>
    </row>
    <row r="456" spans="1:35">
      <c r="A456" s="51"/>
      <c r="B456" s="51"/>
      <c r="C456" s="51"/>
      <c r="D456" s="51"/>
      <c r="E456" s="51"/>
      <c r="F456" s="55"/>
      <c r="G456" s="56"/>
      <c r="H456" s="57"/>
      <c r="I456" s="51"/>
      <c r="J456" s="51"/>
      <c r="K456" s="58"/>
      <c r="L456" s="59"/>
      <c r="M456" s="58"/>
      <c r="N456" s="58"/>
      <c r="O456" s="51"/>
      <c r="P456" s="51"/>
      <c r="Q456" s="37"/>
      <c r="R456" s="70"/>
      <c r="S456" s="70"/>
      <c r="T456" s="70"/>
      <c r="U456" s="71"/>
      <c r="V456" s="73"/>
      <c r="W456" s="75"/>
      <c r="X456" s="117"/>
      <c r="Y456" s="111"/>
      <c r="Z456" s="111"/>
      <c r="AH456" s="18"/>
      <c r="AI456" s="18"/>
    </row>
    <row r="457" spans="1:35">
      <c r="A457" s="51"/>
      <c r="B457" s="51"/>
      <c r="C457" s="51"/>
      <c r="D457" s="51"/>
      <c r="E457" s="51"/>
      <c r="F457" s="55"/>
      <c r="G457" s="56"/>
      <c r="H457" s="57"/>
      <c r="I457" s="51"/>
      <c r="J457" s="51"/>
      <c r="K457" s="58"/>
      <c r="L457" s="59"/>
      <c r="M457" s="58"/>
      <c r="N457" s="58"/>
      <c r="O457" s="51"/>
      <c r="P457" s="51"/>
      <c r="Q457" s="37"/>
      <c r="R457" s="70"/>
      <c r="S457" s="70"/>
      <c r="T457" s="70"/>
      <c r="U457" s="71"/>
      <c r="V457" s="73"/>
      <c r="W457" s="75"/>
      <c r="X457" s="117"/>
      <c r="Y457" s="111"/>
      <c r="Z457" s="111"/>
      <c r="AH457" s="18"/>
      <c r="AI457" s="18"/>
    </row>
    <row r="458" spans="1:35">
      <c r="A458" s="51"/>
      <c r="B458" s="51"/>
      <c r="C458" s="51"/>
      <c r="D458" s="51"/>
      <c r="E458" s="51"/>
      <c r="F458" s="55"/>
      <c r="G458" s="56"/>
      <c r="H458" s="57"/>
      <c r="I458" s="51"/>
      <c r="J458" s="51"/>
      <c r="K458" s="58"/>
      <c r="L458" s="59"/>
      <c r="M458" s="58"/>
      <c r="N458" s="58"/>
      <c r="O458" s="51"/>
      <c r="P458" s="51"/>
      <c r="Q458" s="37"/>
      <c r="R458" s="70"/>
      <c r="S458" s="70"/>
      <c r="T458" s="70"/>
      <c r="U458" s="71"/>
      <c r="V458" s="73"/>
      <c r="W458" s="75"/>
      <c r="X458" s="117"/>
      <c r="Y458" s="111"/>
      <c r="Z458" s="111"/>
      <c r="AH458" s="18"/>
      <c r="AI458" s="18"/>
    </row>
    <row r="459" spans="1:35">
      <c r="A459" s="51"/>
      <c r="B459" s="51"/>
      <c r="C459" s="51"/>
      <c r="D459" s="51"/>
      <c r="E459" s="51"/>
      <c r="F459" s="55"/>
      <c r="G459" s="56"/>
      <c r="H459" s="57"/>
      <c r="I459" s="51"/>
      <c r="J459" s="51"/>
      <c r="K459" s="58"/>
      <c r="L459" s="59"/>
      <c r="M459" s="58"/>
      <c r="N459" s="58"/>
      <c r="O459" s="51"/>
      <c r="P459" s="51"/>
      <c r="Q459" s="37"/>
      <c r="R459" s="70"/>
      <c r="S459" s="70"/>
      <c r="T459" s="70"/>
      <c r="U459" s="71"/>
      <c r="V459" s="73"/>
      <c r="W459" s="75"/>
      <c r="X459" s="117"/>
      <c r="Y459" s="111"/>
      <c r="Z459" s="111"/>
      <c r="AH459" s="18"/>
      <c r="AI459" s="18"/>
    </row>
    <row r="460" spans="1:35">
      <c r="A460" s="51"/>
      <c r="B460" s="51"/>
      <c r="C460" s="51"/>
      <c r="D460" s="51"/>
      <c r="E460" s="51"/>
      <c r="F460" s="55"/>
      <c r="G460" s="56"/>
      <c r="H460" s="57"/>
      <c r="I460" s="51"/>
      <c r="J460" s="51"/>
      <c r="K460" s="58"/>
      <c r="L460" s="59"/>
      <c r="M460" s="58"/>
      <c r="N460" s="58"/>
      <c r="O460" s="51"/>
      <c r="P460" s="51"/>
      <c r="Q460" s="37"/>
      <c r="R460" s="70"/>
      <c r="S460" s="70"/>
      <c r="T460" s="70"/>
      <c r="U460" s="71"/>
      <c r="V460" s="73"/>
      <c r="W460" s="75"/>
      <c r="X460" s="117"/>
      <c r="Y460" s="111"/>
      <c r="Z460" s="111"/>
      <c r="AH460" s="18"/>
      <c r="AI460" s="18"/>
    </row>
    <row r="461" spans="1:35">
      <c r="A461" s="51"/>
      <c r="B461" s="51"/>
      <c r="C461" s="51"/>
      <c r="D461" s="51"/>
      <c r="E461" s="51"/>
      <c r="F461" s="55"/>
      <c r="G461" s="56"/>
      <c r="H461" s="57"/>
      <c r="I461" s="51"/>
      <c r="J461" s="51"/>
      <c r="K461" s="58"/>
      <c r="L461" s="59"/>
      <c r="M461" s="58"/>
      <c r="N461" s="58"/>
      <c r="O461" s="51"/>
      <c r="P461" s="51"/>
      <c r="Q461" s="37"/>
      <c r="R461" s="70"/>
      <c r="S461" s="70"/>
      <c r="T461" s="70"/>
      <c r="U461" s="71"/>
      <c r="V461" s="73"/>
      <c r="W461" s="75"/>
      <c r="X461" s="117"/>
      <c r="Y461" s="111"/>
      <c r="Z461" s="111"/>
      <c r="AH461" s="18"/>
      <c r="AI461" s="18"/>
    </row>
    <row r="462" spans="1:35">
      <c r="A462" s="51"/>
      <c r="B462" s="51"/>
      <c r="C462" s="51"/>
      <c r="D462" s="51"/>
      <c r="E462" s="51"/>
      <c r="F462" s="55"/>
      <c r="G462" s="56"/>
      <c r="H462" s="57"/>
      <c r="I462" s="51"/>
      <c r="J462" s="51"/>
      <c r="K462" s="58"/>
      <c r="L462" s="59"/>
      <c r="M462" s="58"/>
      <c r="N462" s="58"/>
      <c r="O462" s="51"/>
      <c r="P462" s="51"/>
      <c r="Q462" s="37"/>
      <c r="R462" s="70"/>
      <c r="S462" s="70"/>
      <c r="T462" s="70"/>
      <c r="U462" s="71"/>
      <c r="V462" s="73"/>
      <c r="W462" s="75"/>
      <c r="X462" s="117"/>
      <c r="Y462" s="111"/>
      <c r="Z462" s="111"/>
      <c r="AH462" s="18"/>
      <c r="AI462" s="18"/>
    </row>
    <row r="463" spans="1:35">
      <c r="A463" s="51"/>
      <c r="B463" s="51"/>
      <c r="C463" s="51"/>
      <c r="D463" s="51"/>
      <c r="E463" s="51"/>
      <c r="F463" s="55"/>
      <c r="G463" s="56"/>
      <c r="H463" s="57"/>
      <c r="I463" s="51"/>
      <c r="J463" s="51"/>
      <c r="K463" s="58"/>
      <c r="L463" s="59"/>
      <c r="M463" s="58"/>
      <c r="N463" s="58"/>
      <c r="O463" s="51"/>
      <c r="P463" s="51"/>
      <c r="Q463" s="37"/>
      <c r="R463" s="70"/>
      <c r="S463" s="70"/>
      <c r="T463" s="70"/>
      <c r="U463" s="71"/>
      <c r="V463" s="73"/>
      <c r="W463" s="75"/>
      <c r="X463" s="117"/>
      <c r="Y463" s="111"/>
      <c r="Z463" s="111"/>
      <c r="AH463" s="18"/>
      <c r="AI463" s="18"/>
    </row>
    <row r="464" spans="1:35">
      <c r="A464" s="51"/>
      <c r="B464" s="51"/>
      <c r="C464" s="51"/>
      <c r="D464" s="51"/>
      <c r="E464" s="51"/>
      <c r="F464" s="55"/>
      <c r="G464" s="56"/>
      <c r="H464" s="57"/>
      <c r="I464" s="51"/>
      <c r="J464" s="51"/>
      <c r="K464" s="58"/>
      <c r="L464" s="59"/>
      <c r="M464" s="58"/>
      <c r="N464" s="58"/>
      <c r="O464" s="51"/>
      <c r="P464" s="51"/>
      <c r="Q464" s="37"/>
      <c r="R464" s="70"/>
      <c r="S464" s="70"/>
      <c r="T464" s="70"/>
      <c r="U464" s="71"/>
      <c r="V464" s="73"/>
      <c r="W464" s="75"/>
      <c r="X464" s="117"/>
      <c r="Y464" s="111"/>
      <c r="Z464" s="111"/>
      <c r="AH464" s="18"/>
      <c r="AI464" s="18"/>
    </row>
    <row r="465" spans="1:35">
      <c r="A465" s="51"/>
      <c r="B465" s="51"/>
      <c r="C465" s="51"/>
      <c r="D465" s="51"/>
      <c r="E465" s="51"/>
      <c r="F465" s="55"/>
      <c r="G465" s="56"/>
      <c r="H465" s="57"/>
      <c r="I465" s="51"/>
      <c r="J465" s="51"/>
      <c r="K465" s="58"/>
      <c r="L465" s="59"/>
      <c r="M465" s="58"/>
      <c r="N465" s="58"/>
      <c r="O465" s="51"/>
      <c r="P465" s="51"/>
      <c r="Q465" s="37"/>
      <c r="R465" s="70"/>
      <c r="S465" s="70"/>
      <c r="T465" s="70"/>
      <c r="U465" s="71"/>
      <c r="V465" s="73"/>
      <c r="W465" s="75"/>
      <c r="X465" s="117"/>
      <c r="Y465" s="111"/>
      <c r="Z465" s="111"/>
      <c r="AH465" s="18"/>
      <c r="AI465" s="18"/>
    </row>
    <row r="466" spans="1:35">
      <c r="A466" s="51"/>
      <c r="B466" s="51"/>
      <c r="C466" s="51"/>
      <c r="D466" s="51"/>
      <c r="E466" s="51"/>
      <c r="F466" s="55"/>
      <c r="G466" s="56"/>
      <c r="H466" s="57"/>
      <c r="I466" s="51"/>
      <c r="J466" s="51"/>
      <c r="K466" s="58"/>
      <c r="L466" s="59"/>
      <c r="M466" s="58"/>
      <c r="N466" s="58"/>
      <c r="O466" s="51"/>
      <c r="P466" s="51"/>
      <c r="Q466" s="37"/>
      <c r="R466" s="70"/>
      <c r="S466" s="70"/>
      <c r="T466" s="70"/>
      <c r="U466" s="71"/>
      <c r="V466" s="73"/>
      <c r="W466" s="75"/>
      <c r="X466" s="117"/>
      <c r="Y466" s="111"/>
      <c r="Z466" s="111"/>
      <c r="AH466" s="18"/>
      <c r="AI466" s="18"/>
    </row>
    <row r="467" spans="1:35">
      <c r="A467" s="51"/>
      <c r="B467" s="51"/>
      <c r="C467" s="51"/>
      <c r="D467" s="51"/>
      <c r="E467" s="51"/>
      <c r="F467" s="55"/>
      <c r="G467" s="56"/>
      <c r="H467" s="57"/>
      <c r="I467" s="51"/>
      <c r="J467" s="51"/>
      <c r="K467" s="58"/>
      <c r="L467" s="59"/>
      <c r="M467" s="58"/>
      <c r="N467" s="58"/>
      <c r="O467" s="51"/>
      <c r="P467" s="51"/>
      <c r="Q467" s="37"/>
      <c r="R467" s="70"/>
      <c r="S467" s="70"/>
      <c r="T467" s="70"/>
      <c r="U467" s="71"/>
      <c r="V467" s="73"/>
      <c r="W467" s="75"/>
      <c r="X467" s="117"/>
      <c r="Y467" s="111"/>
      <c r="Z467" s="111"/>
      <c r="AH467" s="18"/>
      <c r="AI467" s="18"/>
    </row>
    <row r="468" spans="1:35">
      <c r="A468" s="51"/>
      <c r="B468" s="51"/>
      <c r="C468" s="51"/>
      <c r="D468" s="51"/>
      <c r="E468" s="51"/>
      <c r="F468" s="55"/>
      <c r="G468" s="56"/>
      <c r="H468" s="57"/>
      <c r="I468" s="51"/>
      <c r="J468" s="51"/>
      <c r="K468" s="58"/>
      <c r="L468" s="59"/>
      <c r="M468" s="58"/>
      <c r="N468" s="58"/>
      <c r="O468" s="51"/>
      <c r="P468" s="51"/>
      <c r="Q468" s="37"/>
      <c r="R468" s="70"/>
      <c r="S468" s="70"/>
      <c r="T468" s="70"/>
      <c r="U468" s="71"/>
      <c r="V468" s="73"/>
      <c r="W468" s="75"/>
      <c r="X468" s="117"/>
      <c r="Y468" s="111"/>
      <c r="Z468" s="111"/>
      <c r="AH468" s="18"/>
      <c r="AI468" s="18"/>
    </row>
    <row r="469" spans="1:35">
      <c r="A469" s="51"/>
      <c r="B469" s="51"/>
      <c r="C469" s="51"/>
      <c r="D469" s="51"/>
      <c r="E469" s="51"/>
      <c r="F469" s="55"/>
      <c r="G469" s="56"/>
      <c r="H469" s="57"/>
      <c r="I469" s="51"/>
      <c r="J469" s="51"/>
      <c r="K469" s="58"/>
      <c r="L469" s="59"/>
      <c r="M469" s="58"/>
      <c r="N469" s="58"/>
      <c r="O469" s="51"/>
      <c r="P469" s="51"/>
      <c r="Q469" s="37"/>
      <c r="R469" s="70"/>
      <c r="S469" s="70"/>
      <c r="T469" s="70"/>
      <c r="U469" s="71"/>
      <c r="V469" s="73"/>
      <c r="W469" s="75"/>
      <c r="X469" s="117"/>
      <c r="Y469" s="111"/>
      <c r="Z469" s="111"/>
      <c r="AH469" s="18"/>
      <c r="AI469" s="18"/>
    </row>
    <row r="470" spans="1:35">
      <c r="A470" s="51"/>
      <c r="B470" s="51"/>
      <c r="C470" s="51"/>
      <c r="D470" s="51"/>
      <c r="E470" s="51"/>
      <c r="F470" s="55"/>
      <c r="G470" s="56"/>
      <c r="H470" s="57"/>
      <c r="I470" s="51"/>
      <c r="J470" s="51"/>
      <c r="K470" s="58"/>
      <c r="L470" s="59"/>
      <c r="M470" s="58"/>
      <c r="N470" s="58"/>
      <c r="O470" s="51"/>
      <c r="P470" s="51"/>
      <c r="Q470" s="37"/>
      <c r="R470" s="70"/>
      <c r="S470" s="70"/>
      <c r="T470" s="70"/>
      <c r="U470" s="71"/>
      <c r="V470" s="73"/>
      <c r="W470" s="75"/>
      <c r="X470" s="117"/>
      <c r="Y470" s="111"/>
      <c r="Z470" s="111"/>
      <c r="AH470" s="18"/>
      <c r="AI470" s="18"/>
    </row>
    <row r="471" spans="1:35">
      <c r="A471" s="51"/>
      <c r="B471" s="51"/>
      <c r="C471" s="51"/>
      <c r="D471" s="51"/>
      <c r="E471" s="51"/>
      <c r="F471" s="55"/>
      <c r="G471" s="56"/>
      <c r="H471" s="57"/>
      <c r="I471" s="51"/>
      <c r="J471" s="51"/>
      <c r="K471" s="58"/>
      <c r="L471" s="59"/>
      <c r="M471" s="58"/>
      <c r="N471" s="58"/>
      <c r="O471" s="51"/>
      <c r="P471" s="51"/>
      <c r="Q471" s="37"/>
      <c r="R471" s="70"/>
      <c r="S471" s="70"/>
      <c r="T471" s="70"/>
      <c r="U471" s="71"/>
      <c r="V471" s="73"/>
      <c r="W471" s="75"/>
      <c r="X471" s="117"/>
      <c r="Y471" s="111"/>
      <c r="Z471" s="111"/>
      <c r="AH471" s="18"/>
      <c r="AI471" s="18"/>
    </row>
    <row r="472" spans="1:35">
      <c r="A472" s="51"/>
      <c r="B472" s="51"/>
      <c r="C472" s="51"/>
      <c r="D472" s="51"/>
      <c r="E472" s="51"/>
      <c r="F472" s="55"/>
      <c r="G472" s="56"/>
      <c r="H472" s="57"/>
      <c r="I472" s="51"/>
      <c r="J472" s="51"/>
      <c r="K472" s="58"/>
      <c r="L472" s="59"/>
      <c r="M472" s="58"/>
      <c r="N472" s="58"/>
      <c r="O472" s="51"/>
      <c r="P472" s="51"/>
      <c r="Q472" s="37"/>
      <c r="R472" s="70"/>
      <c r="S472" s="70"/>
      <c r="T472" s="70"/>
      <c r="U472" s="71"/>
      <c r="V472" s="73"/>
      <c r="W472" s="75"/>
      <c r="X472" s="117"/>
      <c r="Y472" s="111"/>
      <c r="Z472" s="111"/>
      <c r="AH472" s="18"/>
      <c r="AI472" s="18"/>
    </row>
    <row r="473" spans="1:35">
      <c r="A473" s="51"/>
      <c r="B473" s="51"/>
      <c r="C473" s="51"/>
      <c r="D473" s="51"/>
      <c r="E473" s="51"/>
      <c r="F473" s="55"/>
      <c r="G473" s="56"/>
      <c r="H473" s="57"/>
      <c r="I473" s="51"/>
      <c r="J473" s="51"/>
      <c r="K473" s="58"/>
      <c r="L473" s="59"/>
      <c r="M473" s="58"/>
      <c r="N473" s="58"/>
      <c r="O473" s="51"/>
      <c r="P473" s="51"/>
      <c r="Q473" s="37"/>
      <c r="R473" s="70"/>
      <c r="S473" s="70"/>
      <c r="T473" s="70"/>
      <c r="U473" s="71"/>
      <c r="V473" s="73"/>
      <c r="W473" s="75"/>
      <c r="X473" s="117"/>
      <c r="Y473" s="111"/>
      <c r="Z473" s="111"/>
      <c r="AH473" s="18"/>
      <c r="AI473" s="18"/>
    </row>
    <row r="474" spans="1:35">
      <c r="A474" s="51"/>
      <c r="B474" s="51"/>
      <c r="C474" s="51"/>
      <c r="D474" s="51"/>
      <c r="E474" s="51"/>
      <c r="F474" s="55"/>
      <c r="G474" s="56"/>
      <c r="H474" s="57"/>
      <c r="I474" s="51"/>
      <c r="J474" s="51"/>
      <c r="K474" s="58"/>
      <c r="L474" s="59"/>
      <c r="M474" s="58"/>
      <c r="N474" s="58"/>
      <c r="O474" s="51"/>
      <c r="P474" s="51"/>
      <c r="Q474" s="37"/>
      <c r="R474" s="70"/>
      <c r="S474" s="70"/>
      <c r="T474" s="70"/>
      <c r="U474" s="71"/>
      <c r="V474" s="73"/>
      <c r="W474" s="75"/>
      <c r="X474" s="117"/>
      <c r="Y474" s="111"/>
      <c r="Z474" s="111"/>
      <c r="AH474" s="18"/>
      <c r="AI474" s="18"/>
    </row>
    <row r="475" spans="1:35">
      <c r="A475" s="51"/>
      <c r="B475" s="51"/>
      <c r="C475" s="51"/>
      <c r="D475" s="51"/>
      <c r="E475" s="51"/>
      <c r="F475" s="55"/>
      <c r="G475" s="56"/>
      <c r="H475" s="57"/>
      <c r="I475" s="51"/>
      <c r="J475" s="51"/>
      <c r="K475" s="58"/>
      <c r="L475" s="59"/>
      <c r="M475" s="58"/>
      <c r="N475" s="58"/>
      <c r="O475" s="51"/>
      <c r="P475" s="51"/>
      <c r="Q475" s="37"/>
      <c r="R475" s="70"/>
      <c r="S475" s="70"/>
      <c r="T475" s="70"/>
      <c r="U475" s="71"/>
      <c r="V475" s="73"/>
      <c r="W475" s="75"/>
      <c r="X475" s="117"/>
      <c r="Y475" s="111"/>
      <c r="Z475" s="111"/>
      <c r="AH475" s="18"/>
      <c r="AI475" s="18"/>
    </row>
    <row r="476" spans="1:35">
      <c r="A476" s="51"/>
      <c r="B476" s="51"/>
      <c r="C476" s="51"/>
      <c r="D476" s="51"/>
      <c r="E476" s="51"/>
      <c r="F476" s="55"/>
      <c r="G476" s="56"/>
      <c r="H476" s="57"/>
      <c r="I476" s="51"/>
      <c r="J476" s="51"/>
      <c r="K476" s="58"/>
      <c r="L476" s="59"/>
      <c r="M476" s="58"/>
      <c r="N476" s="58"/>
      <c r="O476" s="51"/>
      <c r="P476" s="51"/>
      <c r="Q476" s="37"/>
      <c r="R476" s="70"/>
      <c r="S476" s="70"/>
      <c r="T476" s="70"/>
      <c r="U476" s="71"/>
      <c r="V476" s="73"/>
      <c r="W476" s="75"/>
      <c r="X476" s="117"/>
      <c r="Y476" s="111"/>
      <c r="Z476" s="111"/>
      <c r="AH476" s="18"/>
      <c r="AI476" s="18"/>
    </row>
    <row r="477" spans="1:35">
      <c r="A477" s="51"/>
      <c r="B477" s="51"/>
      <c r="C477" s="51"/>
      <c r="D477" s="51"/>
      <c r="E477" s="51"/>
      <c r="F477" s="55"/>
      <c r="G477" s="56"/>
      <c r="H477" s="57"/>
      <c r="I477" s="51"/>
      <c r="J477" s="51"/>
      <c r="K477" s="58"/>
      <c r="L477" s="59"/>
      <c r="M477" s="58"/>
      <c r="N477" s="58"/>
      <c r="O477" s="51"/>
      <c r="P477" s="51"/>
      <c r="Q477" s="37"/>
      <c r="R477" s="70"/>
      <c r="S477" s="70"/>
      <c r="T477" s="70"/>
      <c r="U477" s="71"/>
      <c r="V477" s="73"/>
      <c r="W477" s="75"/>
      <c r="X477" s="117"/>
      <c r="Y477" s="111"/>
      <c r="Z477" s="111"/>
      <c r="AH477" s="18"/>
      <c r="AI477" s="18"/>
    </row>
    <row r="478" spans="1:35">
      <c r="A478" s="51"/>
      <c r="B478" s="51"/>
      <c r="C478" s="51"/>
      <c r="D478" s="51"/>
      <c r="E478" s="51"/>
      <c r="F478" s="55"/>
      <c r="G478" s="56"/>
      <c r="H478" s="57"/>
      <c r="I478" s="51"/>
      <c r="J478" s="51"/>
      <c r="K478" s="58"/>
      <c r="L478" s="59"/>
      <c r="M478" s="58"/>
      <c r="N478" s="58"/>
      <c r="O478" s="51"/>
      <c r="P478" s="51"/>
      <c r="Q478" s="37"/>
      <c r="R478" s="70"/>
      <c r="S478" s="70"/>
      <c r="T478" s="70"/>
      <c r="U478" s="71"/>
      <c r="V478" s="73"/>
      <c r="W478" s="75"/>
      <c r="X478" s="117"/>
      <c r="Y478" s="111"/>
      <c r="Z478" s="111"/>
      <c r="AH478" s="18"/>
      <c r="AI478" s="18"/>
    </row>
    <row r="479" spans="1:35">
      <c r="A479" s="51"/>
      <c r="B479" s="51"/>
      <c r="C479" s="51"/>
      <c r="D479" s="51"/>
      <c r="E479" s="51"/>
      <c r="F479" s="55"/>
      <c r="G479" s="56"/>
      <c r="H479" s="57"/>
      <c r="I479" s="51"/>
      <c r="J479" s="51"/>
      <c r="K479" s="58"/>
      <c r="L479" s="59"/>
      <c r="M479" s="58"/>
      <c r="N479" s="58"/>
      <c r="O479" s="51"/>
      <c r="P479" s="51"/>
      <c r="Q479" s="37"/>
      <c r="R479" s="70"/>
      <c r="S479" s="70"/>
      <c r="T479" s="70"/>
      <c r="U479" s="71"/>
      <c r="V479" s="73"/>
      <c r="W479" s="75"/>
      <c r="X479" s="117"/>
      <c r="Y479" s="111"/>
      <c r="Z479" s="111"/>
      <c r="AH479" s="18"/>
      <c r="AI479" s="18"/>
    </row>
    <row r="480" spans="1:35">
      <c r="A480" s="51"/>
      <c r="B480" s="51"/>
      <c r="C480" s="51"/>
      <c r="D480" s="51"/>
      <c r="E480" s="51"/>
      <c r="F480" s="55"/>
      <c r="G480" s="56"/>
      <c r="H480" s="57"/>
      <c r="I480" s="51"/>
      <c r="J480" s="51"/>
      <c r="K480" s="58"/>
      <c r="L480" s="59"/>
      <c r="M480" s="58"/>
      <c r="N480" s="58"/>
      <c r="O480" s="51"/>
      <c r="P480" s="51"/>
      <c r="Q480" s="37"/>
      <c r="R480" s="70"/>
      <c r="S480" s="70"/>
      <c r="T480" s="70"/>
      <c r="U480" s="71"/>
      <c r="V480" s="73"/>
      <c r="W480" s="75"/>
      <c r="X480" s="117"/>
      <c r="Y480" s="111"/>
      <c r="Z480" s="111"/>
      <c r="AH480" s="18"/>
      <c r="AI480" s="18"/>
    </row>
    <row r="481" spans="1:35">
      <c r="A481" s="51"/>
      <c r="B481" s="51"/>
      <c r="C481" s="51"/>
      <c r="D481" s="51"/>
      <c r="E481" s="51"/>
      <c r="F481" s="55"/>
      <c r="G481" s="56"/>
      <c r="H481" s="57"/>
      <c r="I481" s="51"/>
      <c r="J481" s="51"/>
      <c r="K481" s="58"/>
      <c r="L481" s="59"/>
      <c r="M481" s="58"/>
      <c r="N481" s="58"/>
      <c r="O481" s="51"/>
      <c r="P481" s="51"/>
      <c r="Q481" s="37"/>
      <c r="R481" s="70"/>
      <c r="S481" s="70"/>
      <c r="T481" s="70"/>
      <c r="U481" s="71"/>
      <c r="V481" s="73"/>
      <c r="W481" s="75"/>
      <c r="X481" s="117"/>
      <c r="Y481" s="111"/>
      <c r="Z481" s="111"/>
      <c r="AH481" s="18"/>
      <c r="AI481" s="18"/>
    </row>
    <row r="482" spans="1:35">
      <c r="A482" s="51"/>
      <c r="B482" s="51"/>
      <c r="C482" s="51"/>
      <c r="D482" s="51"/>
      <c r="E482" s="51"/>
      <c r="F482" s="55"/>
      <c r="G482" s="56"/>
      <c r="H482" s="57"/>
      <c r="I482" s="51"/>
      <c r="J482" s="51"/>
      <c r="K482" s="58"/>
      <c r="L482" s="59"/>
      <c r="M482" s="58"/>
      <c r="N482" s="58"/>
      <c r="O482" s="51"/>
      <c r="P482" s="51"/>
      <c r="Q482" s="37"/>
      <c r="R482" s="70"/>
      <c r="S482" s="70"/>
      <c r="T482" s="70"/>
      <c r="U482" s="71"/>
      <c r="V482" s="73"/>
      <c r="W482" s="75"/>
      <c r="X482" s="117"/>
      <c r="Y482" s="111"/>
      <c r="Z482" s="111"/>
      <c r="AH482" s="18"/>
      <c r="AI482" s="18"/>
    </row>
    <row r="483" spans="1:35">
      <c r="A483" s="51"/>
      <c r="B483" s="51"/>
      <c r="C483" s="51"/>
      <c r="D483" s="51"/>
      <c r="E483" s="51"/>
      <c r="F483" s="55"/>
      <c r="G483" s="56"/>
      <c r="H483" s="57"/>
      <c r="I483" s="51"/>
      <c r="J483" s="51"/>
      <c r="K483" s="58"/>
      <c r="L483" s="59"/>
      <c r="M483" s="58"/>
      <c r="N483" s="58"/>
      <c r="O483" s="51"/>
      <c r="P483" s="51"/>
      <c r="Q483" s="37"/>
      <c r="R483" s="70"/>
      <c r="S483" s="70"/>
      <c r="T483" s="70"/>
      <c r="U483" s="71"/>
      <c r="V483" s="73"/>
      <c r="W483" s="75"/>
      <c r="X483" s="117"/>
      <c r="Y483" s="111"/>
      <c r="Z483" s="111"/>
      <c r="AH483" s="18"/>
      <c r="AI483" s="18"/>
    </row>
    <row r="484" spans="1:35">
      <c r="A484" s="51"/>
      <c r="B484" s="51"/>
      <c r="C484" s="51"/>
      <c r="D484" s="51"/>
      <c r="E484" s="51"/>
      <c r="F484" s="55"/>
      <c r="G484" s="56"/>
      <c r="H484" s="57"/>
      <c r="I484" s="51"/>
      <c r="J484" s="51"/>
      <c r="K484" s="58"/>
      <c r="L484" s="59"/>
      <c r="M484" s="58"/>
      <c r="N484" s="58"/>
      <c r="O484" s="51"/>
      <c r="P484" s="51"/>
      <c r="Q484" s="37"/>
      <c r="R484" s="70"/>
      <c r="S484" s="70"/>
      <c r="T484" s="70"/>
      <c r="U484" s="71"/>
      <c r="V484" s="73"/>
      <c r="W484" s="75"/>
      <c r="X484" s="117"/>
      <c r="Y484" s="111"/>
      <c r="Z484" s="111"/>
      <c r="AH484" s="18"/>
      <c r="AI484" s="18"/>
    </row>
    <row r="485" spans="1:35">
      <c r="A485" s="51"/>
      <c r="B485" s="51"/>
      <c r="C485" s="51"/>
      <c r="D485" s="51"/>
      <c r="E485" s="51"/>
      <c r="F485" s="55"/>
      <c r="G485" s="56"/>
      <c r="H485" s="57"/>
      <c r="I485" s="51"/>
      <c r="J485" s="51"/>
      <c r="K485" s="58"/>
      <c r="L485" s="59"/>
      <c r="M485" s="58"/>
      <c r="N485" s="58"/>
      <c r="O485" s="51"/>
      <c r="P485" s="51"/>
      <c r="Q485" s="37"/>
      <c r="R485" s="70"/>
      <c r="S485" s="70"/>
      <c r="T485" s="70"/>
      <c r="U485" s="71"/>
      <c r="V485" s="73"/>
      <c r="W485" s="75"/>
      <c r="X485" s="117"/>
      <c r="Y485" s="111"/>
      <c r="Z485" s="111"/>
      <c r="AH485" s="18"/>
      <c r="AI485" s="18"/>
    </row>
    <row r="486" spans="1:35">
      <c r="A486" s="51"/>
      <c r="B486" s="51"/>
      <c r="C486" s="51"/>
      <c r="D486" s="51"/>
      <c r="E486" s="51"/>
      <c r="F486" s="55"/>
      <c r="G486" s="56"/>
      <c r="H486" s="57"/>
      <c r="I486" s="51"/>
      <c r="J486" s="51"/>
      <c r="K486" s="58"/>
      <c r="L486" s="59"/>
      <c r="M486" s="58"/>
      <c r="N486" s="58"/>
      <c r="O486" s="51"/>
      <c r="P486" s="51"/>
      <c r="Q486" s="37"/>
      <c r="R486" s="70"/>
      <c r="S486" s="70"/>
      <c r="T486" s="70"/>
      <c r="U486" s="71"/>
      <c r="V486" s="73"/>
      <c r="W486" s="75"/>
      <c r="X486" s="117"/>
      <c r="Y486" s="111"/>
      <c r="Z486" s="111"/>
      <c r="AH486" s="18"/>
      <c r="AI486" s="18"/>
    </row>
    <row r="487" spans="1:35">
      <c r="A487" s="51"/>
      <c r="B487" s="51"/>
      <c r="C487" s="51"/>
      <c r="D487" s="51"/>
      <c r="E487" s="51"/>
      <c r="F487" s="55"/>
      <c r="G487" s="56"/>
      <c r="H487" s="57"/>
      <c r="I487" s="51"/>
      <c r="J487" s="51"/>
      <c r="K487" s="58"/>
      <c r="L487" s="59"/>
      <c r="M487" s="58"/>
      <c r="N487" s="58"/>
      <c r="O487" s="51"/>
      <c r="P487" s="51"/>
      <c r="Q487" s="37"/>
      <c r="R487" s="70"/>
      <c r="S487" s="70"/>
      <c r="T487" s="70"/>
      <c r="U487" s="71"/>
      <c r="V487" s="73"/>
      <c r="W487" s="75"/>
      <c r="X487" s="117"/>
      <c r="Y487" s="111"/>
      <c r="Z487" s="111"/>
      <c r="AH487" s="18"/>
      <c r="AI487" s="18"/>
    </row>
    <row r="488" spans="1:35">
      <c r="A488" s="51"/>
      <c r="B488" s="51"/>
      <c r="C488" s="51"/>
      <c r="D488" s="51"/>
      <c r="E488" s="51"/>
      <c r="F488" s="55"/>
      <c r="G488" s="56"/>
      <c r="H488" s="57"/>
      <c r="I488" s="51"/>
      <c r="J488" s="51"/>
      <c r="K488" s="58"/>
      <c r="L488" s="59"/>
      <c r="M488" s="58"/>
      <c r="N488" s="58"/>
      <c r="O488" s="51"/>
      <c r="P488" s="51"/>
      <c r="Q488" s="37"/>
      <c r="R488" s="70"/>
      <c r="S488" s="70"/>
      <c r="T488" s="70"/>
      <c r="U488" s="71"/>
      <c r="V488" s="73"/>
      <c r="W488" s="75"/>
      <c r="X488" s="117"/>
      <c r="Y488" s="111"/>
      <c r="Z488" s="111"/>
      <c r="AH488" s="18"/>
      <c r="AI488" s="18"/>
    </row>
    <row r="489" spans="1:35">
      <c r="A489" s="51"/>
      <c r="B489" s="51"/>
      <c r="C489" s="51"/>
      <c r="D489" s="51"/>
      <c r="E489" s="51"/>
      <c r="F489" s="55"/>
      <c r="G489" s="56"/>
      <c r="H489" s="57"/>
      <c r="I489" s="51"/>
      <c r="J489" s="51"/>
      <c r="K489" s="58"/>
      <c r="L489" s="59"/>
      <c r="M489" s="58"/>
      <c r="N489" s="58"/>
      <c r="O489" s="51"/>
      <c r="P489" s="51"/>
      <c r="Q489" s="37"/>
      <c r="R489" s="70"/>
      <c r="S489" s="70"/>
      <c r="T489" s="70"/>
      <c r="U489" s="71"/>
      <c r="V489" s="73"/>
      <c r="W489" s="75"/>
      <c r="X489" s="117"/>
      <c r="Y489" s="111"/>
      <c r="Z489" s="111"/>
      <c r="AH489" s="18"/>
      <c r="AI489" s="18"/>
    </row>
    <row r="490" spans="1:35">
      <c r="A490" s="51"/>
      <c r="B490" s="51"/>
      <c r="C490" s="51"/>
      <c r="D490" s="51"/>
      <c r="E490" s="51"/>
      <c r="F490" s="55"/>
      <c r="G490" s="56"/>
      <c r="H490" s="57"/>
      <c r="I490" s="51"/>
      <c r="J490" s="51"/>
      <c r="K490" s="58"/>
      <c r="L490" s="59"/>
      <c r="M490" s="58"/>
      <c r="N490" s="58"/>
      <c r="O490" s="51"/>
      <c r="P490" s="51"/>
      <c r="Q490" s="37"/>
      <c r="R490" s="70"/>
      <c r="S490" s="70"/>
      <c r="T490" s="70"/>
      <c r="U490" s="71"/>
      <c r="V490" s="73"/>
      <c r="W490" s="75"/>
      <c r="X490" s="117"/>
      <c r="Y490" s="111"/>
      <c r="Z490" s="111"/>
      <c r="AH490" s="18"/>
      <c r="AI490" s="18"/>
    </row>
    <row r="491" spans="1:35">
      <c r="A491" s="51"/>
      <c r="B491" s="51"/>
      <c r="C491" s="51"/>
      <c r="D491" s="51"/>
      <c r="E491" s="51"/>
      <c r="F491" s="55"/>
      <c r="G491" s="56"/>
      <c r="H491" s="57"/>
      <c r="I491" s="51"/>
      <c r="J491" s="51"/>
      <c r="K491" s="58"/>
      <c r="L491" s="59"/>
      <c r="M491" s="58"/>
      <c r="N491" s="58"/>
      <c r="O491" s="51"/>
      <c r="P491" s="51"/>
      <c r="Q491" s="37"/>
      <c r="R491" s="70"/>
      <c r="S491" s="70"/>
      <c r="T491" s="70"/>
      <c r="U491" s="71"/>
      <c r="V491" s="73"/>
      <c r="W491" s="75"/>
      <c r="X491" s="117"/>
      <c r="Y491" s="111"/>
      <c r="Z491" s="111"/>
      <c r="AH491" s="18"/>
      <c r="AI491" s="18"/>
    </row>
    <row r="492" spans="1:35">
      <c r="A492" s="51"/>
      <c r="B492" s="51"/>
      <c r="C492" s="51"/>
      <c r="D492" s="51"/>
      <c r="E492" s="51"/>
      <c r="F492" s="55"/>
      <c r="G492" s="56"/>
      <c r="H492" s="57"/>
      <c r="I492" s="51"/>
      <c r="J492" s="51"/>
      <c r="K492" s="58"/>
      <c r="L492" s="59"/>
      <c r="M492" s="58"/>
      <c r="N492" s="58"/>
      <c r="O492" s="51"/>
      <c r="P492" s="51"/>
      <c r="Q492" s="37"/>
      <c r="R492" s="70"/>
      <c r="S492" s="70"/>
      <c r="T492" s="70"/>
      <c r="U492" s="71"/>
      <c r="V492" s="73"/>
      <c r="W492" s="75"/>
      <c r="X492" s="117"/>
      <c r="Y492" s="111"/>
      <c r="Z492" s="111"/>
      <c r="AH492" s="18"/>
      <c r="AI492" s="18"/>
    </row>
    <row r="493" spans="1:35">
      <c r="A493" s="51"/>
      <c r="B493" s="51"/>
      <c r="C493" s="51"/>
      <c r="D493" s="51"/>
      <c r="E493" s="51"/>
      <c r="F493" s="55"/>
      <c r="G493" s="56"/>
      <c r="H493" s="57"/>
      <c r="I493" s="51"/>
      <c r="J493" s="51"/>
      <c r="K493" s="58"/>
      <c r="L493" s="59"/>
      <c r="M493" s="58"/>
      <c r="N493" s="58"/>
      <c r="O493" s="51"/>
      <c r="P493" s="51"/>
      <c r="Q493" s="37"/>
      <c r="R493" s="70"/>
      <c r="S493" s="70"/>
      <c r="T493" s="70"/>
      <c r="U493" s="71"/>
      <c r="V493" s="73"/>
      <c r="W493" s="75"/>
      <c r="X493" s="117"/>
      <c r="Y493" s="111"/>
      <c r="Z493" s="111"/>
      <c r="AH493" s="18"/>
      <c r="AI493" s="18"/>
    </row>
    <row r="494" spans="1:35">
      <c r="A494" s="51"/>
      <c r="B494" s="51"/>
      <c r="C494" s="51"/>
      <c r="D494" s="51"/>
      <c r="E494" s="51"/>
      <c r="F494" s="55"/>
      <c r="G494" s="56"/>
      <c r="H494" s="57"/>
      <c r="I494" s="51"/>
      <c r="J494" s="51"/>
      <c r="K494" s="58"/>
      <c r="L494" s="59"/>
      <c r="M494" s="58"/>
      <c r="N494" s="58"/>
      <c r="O494" s="51"/>
      <c r="P494" s="51"/>
      <c r="Q494" s="37"/>
      <c r="R494" s="70"/>
      <c r="S494" s="70"/>
      <c r="T494" s="70"/>
      <c r="U494" s="71"/>
      <c r="V494" s="73"/>
      <c r="W494" s="75"/>
      <c r="X494" s="117"/>
      <c r="Y494" s="111"/>
      <c r="Z494" s="111"/>
      <c r="AH494" s="18"/>
      <c r="AI494" s="18"/>
    </row>
    <row r="495" spans="1:35">
      <c r="A495" s="51"/>
      <c r="B495" s="51"/>
      <c r="C495" s="51"/>
      <c r="D495" s="51"/>
      <c r="E495" s="51"/>
      <c r="F495" s="55"/>
      <c r="G495" s="56"/>
      <c r="H495" s="57"/>
      <c r="I495" s="51"/>
      <c r="J495" s="51"/>
      <c r="K495" s="58"/>
      <c r="L495" s="59"/>
      <c r="M495" s="58"/>
      <c r="N495" s="58"/>
      <c r="O495" s="51"/>
      <c r="P495" s="51"/>
      <c r="Q495" s="37"/>
      <c r="R495" s="70"/>
      <c r="S495" s="70"/>
      <c r="T495" s="70"/>
      <c r="U495" s="71"/>
      <c r="V495" s="73"/>
      <c r="W495" s="75"/>
      <c r="X495" s="117"/>
      <c r="Y495" s="111"/>
      <c r="Z495" s="111"/>
      <c r="AH495" s="18"/>
      <c r="AI495" s="18"/>
    </row>
    <row r="496" spans="1:35">
      <c r="A496" s="51"/>
      <c r="B496" s="51"/>
      <c r="C496" s="51"/>
      <c r="D496" s="51"/>
      <c r="E496" s="51"/>
      <c r="F496" s="55"/>
      <c r="G496" s="56"/>
      <c r="H496" s="57"/>
      <c r="I496" s="51"/>
      <c r="J496" s="51"/>
      <c r="K496" s="58"/>
      <c r="L496" s="59"/>
      <c r="M496" s="58"/>
      <c r="N496" s="58"/>
      <c r="O496" s="51"/>
      <c r="P496" s="51"/>
      <c r="Q496" s="37"/>
      <c r="R496" s="70"/>
      <c r="S496" s="70"/>
      <c r="T496" s="70"/>
      <c r="U496" s="71"/>
      <c r="V496" s="73"/>
      <c r="W496" s="75"/>
      <c r="X496" s="117"/>
      <c r="Y496" s="111"/>
      <c r="Z496" s="111"/>
      <c r="AH496" s="18"/>
      <c r="AI496" s="18"/>
    </row>
    <row r="497" spans="1:35">
      <c r="A497" s="51"/>
      <c r="B497" s="51"/>
      <c r="C497" s="51"/>
      <c r="D497" s="51"/>
      <c r="E497" s="51"/>
      <c r="F497" s="55"/>
      <c r="G497" s="56"/>
      <c r="H497" s="57"/>
      <c r="I497" s="51"/>
      <c r="J497" s="51"/>
      <c r="K497" s="58"/>
      <c r="L497" s="59"/>
      <c r="M497" s="58"/>
      <c r="N497" s="58"/>
      <c r="O497" s="51"/>
      <c r="P497" s="51"/>
      <c r="Q497" s="37"/>
      <c r="R497" s="70"/>
      <c r="S497" s="70"/>
      <c r="T497" s="70"/>
      <c r="U497" s="71"/>
      <c r="V497" s="73"/>
      <c r="W497" s="75"/>
      <c r="X497" s="117"/>
      <c r="Y497" s="111"/>
      <c r="Z497" s="111"/>
      <c r="AH497" s="18"/>
      <c r="AI497" s="18"/>
    </row>
    <row r="498" spans="1:35">
      <c r="A498" s="51"/>
      <c r="B498" s="51"/>
      <c r="C498" s="51"/>
      <c r="D498" s="51"/>
      <c r="E498" s="51"/>
      <c r="F498" s="55"/>
      <c r="G498" s="56"/>
      <c r="H498" s="57"/>
      <c r="I498" s="51"/>
      <c r="J498" s="51"/>
      <c r="K498" s="58"/>
      <c r="L498" s="59"/>
      <c r="M498" s="58"/>
      <c r="N498" s="58"/>
      <c r="O498" s="51"/>
      <c r="P498" s="51"/>
      <c r="Q498" s="37"/>
      <c r="R498" s="70"/>
      <c r="S498" s="70"/>
      <c r="T498" s="70"/>
      <c r="U498" s="71"/>
      <c r="V498" s="73"/>
      <c r="W498" s="75"/>
      <c r="X498" s="117"/>
      <c r="Y498" s="111"/>
      <c r="Z498" s="111"/>
      <c r="AH498" s="18"/>
      <c r="AI498" s="18"/>
    </row>
    <row r="499" spans="1:35">
      <c r="A499" s="51"/>
      <c r="B499" s="51"/>
      <c r="C499" s="51"/>
      <c r="D499" s="51"/>
      <c r="E499" s="51"/>
      <c r="F499" s="55"/>
      <c r="G499" s="56"/>
      <c r="H499" s="57"/>
      <c r="I499" s="51"/>
      <c r="J499" s="51"/>
      <c r="K499" s="58"/>
      <c r="L499" s="59"/>
      <c r="M499" s="58"/>
      <c r="N499" s="58"/>
      <c r="O499" s="51"/>
      <c r="P499" s="51"/>
      <c r="Q499" s="37"/>
      <c r="R499" s="70"/>
      <c r="S499" s="70"/>
      <c r="T499" s="70"/>
      <c r="U499" s="71"/>
      <c r="V499" s="73"/>
      <c r="W499" s="75"/>
      <c r="X499" s="117"/>
      <c r="Y499" s="111"/>
      <c r="Z499" s="111"/>
      <c r="AH499" s="18"/>
      <c r="AI499" s="18"/>
    </row>
    <row r="500" spans="1:35">
      <c r="A500" s="51"/>
      <c r="B500" s="51"/>
      <c r="C500" s="51"/>
      <c r="D500" s="51"/>
      <c r="E500" s="51"/>
      <c r="F500" s="55"/>
      <c r="G500" s="56"/>
      <c r="H500" s="57"/>
      <c r="I500" s="51"/>
      <c r="J500" s="51"/>
      <c r="K500" s="58"/>
      <c r="L500" s="59"/>
      <c r="M500" s="58"/>
      <c r="N500" s="58"/>
      <c r="O500" s="51"/>
      <c r="P500" s="51"/>
      <c r="Q500" s="37"/>
      <c r="R500" s="70"/>
      <c r="S500" s="70"/>
      <c r="T500" s="70"/>
      <c r="U500" s="71"/>
      <c r="V500" s="73"/>
      <c r="W500" s="75"/>
      <c r="X500" s="117"/>
      <c r="Y500" s="111"/>
      <c r="Z500" s="111"/>
      <c r="AH500" s="18"/>
      <c r="AI500" s="18"/>
    </row>
    <row r="501" spans="1:35">
      <c r="A501" s="51"/>
      <c r="B501" s="51"/>
      <c r="C501" s="51"/>
      <c r="D501" s="51"/>
      <c r="E501" s="51"/>
      <c r="F501" s="55"/>
      <c r="G501" s="56"/>
      <c r="H501" s="57"/>
      <c r="I501" s="51"/>
      <c r="J501" s="51"/>
      <c r="K501" s="58"/>
      <c r="L501" s="59"/>
      <c r="M501" s="58"/>
      <c r="N501" s="58"/>
      <c r="O501" s="51"/>
      <c r="P501" s="51"/>
      <c r="Q501" s="37"/>
      <c r="R501" s="70"/>
      <c r="S501" s="70"/>
      <c r="T501" s="70"/>
      <c r="U501" s="71"/>
      <c r="V501" s="73"/>
      <c r="W501" s="75"/>
      <c r="X501" s="117"/>
      <c r="Y501" s="111"/>
      <c r="Z501" s="111"/>
      <c r="AH501" s="18"/>
      <c r="AI501" s="18"/>
    </row>
    <row r="502" spans="1:35">
      <c r="A502" s="51"/>
      <c r="B502" s="51"/>
      <c r="C502" s="51"/>
      <c r="D502" s="51"/>
      <c r="E502" s="51"/>
      <c r="F502" s="55"/>
      <c r="G502" s="56"/>
      <c r="H502" s="57"/>
      <c r="I502" s="51"/>
      <c r="J502" s="51"/>
      <c r="K502" s="58"/>
      <c r="L502" s="59"/>
      <c r="M502" s="58"/>
      <c r="N502" s="58"/>
      <c r="O502" s="51"/>
      <c r="P502" s="51"/>
      <c r="Q502" s="37"/>
      <c r="R502" s="70"/>
      <c r="S502" s="70"/>
      <c r="T502" s="70"/>
      <c r="U502" s="71"/>
      <c r="V502" s="73"/>
      <c r="W502" s="75"/>
      <c r="X502" s="117"/>
      <c r="Y502" s="111"/>
      <c r="Z502" s="111"/>
      <c r="AH502" s="18"/>
      <c r="AI502" s="18"/>
    </row>
    <row r="503" spans="1:35">
      <c r="A503" s="51"/>
      <c r="B503" s="51"/>
      <c r="C503" s="51"/>
      <c r="D503" s="51"/>
      <c r="E503" s="51"/>
      <c r="F503" s="55"/>
      <c r="G503" s="56"/>
      <c r="H503" s="57"/>
      <c r="I503" s="51"/>
      <c r="J503" s="51"/>
      <c r="K503" s="58"/>
      <c r="L503" s="59"/>
      <c r="M503" s="58"/>
      <c r="N503" s="58"/>
      <c r="O503" s="51"/>
      <c r="P503" s="51"/>
      <c r="Q503" s="37"/>
      <c r="R503" s="70"/>
      <c r="S503" s="70"/>
      <c r="T503" s="70"/>
      <c r="U503" s="71"/>
      <c r="V503" s="73"/>
      <c r="W503" s="75"/>
      <c r="X503" s="117"/>
      <c r="Y503" s="111"/>
      <c r="Z503" s="111"/>
      <c r="AH503" s="18"/>
      <c r="AI503" s="18"/>
    </row>
    <row r="504" spans="1:35">
      <c r="A504" s="51"/>
      <c r="B504" s="51"/>
      <c r="C504" s="51"/>
      <c r="D504" s="51"/>
      <c r="E504" s="51"/>
      <c r="F504" s="55"/>
      <c r="G504" s="56"/>
      <c r="H504" s="57"/>
      <c r="I504" s="51"/>
      <c r="J504" s="51"/>
      <c r="K504" s="58"/>
      <c r="L504" s="59"/>
      <c r="M504" s="58"/>
      <c r="N504" s="58"/>
      <c r="O504" s="51"/>
      <c r="P504" s="51"/>
      <c r="Q504" s="37"/>
      <c r="R504" s="70"/>
      <c r="S504" s="70"/>
      <c r="T504" s="70"/>
      <c r="U504" s="71"/>
      <c r="V504" s="73"/>
      <c r="W504" s="75"/>
      <c r="X504" s="117"/>
      <c r="Y504" s="111"/>
      <c r="Z504" s="111"/>
      <c r="AH504" s="18"/>
      <c r="AI504" s="18"/>
    </row>
    <row r="505" spans="1:35">
      <c r="A505" s="51"/>
      <c r="B505" s="51"/>
      <c r="C505" s="51"/>
      <c r="D505" s="51"/>
      <c r="E505" s="51"/>
      <c r="F505" s="55"/>
      <c r="G505" s="56"/>
      <c r="H505" s="57"/>
      <c r="I505" s="51"/>
      <c r="J505" s="51"/>
      <c r="K505" s="58"/>
      <c r="L505" s="59"/>
      <c r="M505" s="58"/>
      <c r="N505" s="58"/>
      <c r="O505" s="51"/>
      <c r="P505" s="51"/>
      <c r="Q505" s="37"/>
      <c r="R505" s="70"/>
      <c r="S505" s="70"/>
      <c r="T505" s="70"/>
      <c r="U505" s="71"/>
      <c r="V505" s="73"/>
      <c r="W505" s="75"/>
      <c r="X505" s="117"/>
      <c r="Y505" s="111"/>
      <c r="Z505" s="111"/>
      <c r="AH505" s="18"/>
      <c r="AI505" s="18"/>
    </row>
    <row r="506" spans="1:35">
      <c r="A506" s="51"/>
      <c r="B506" s="51"/>
      <c r="C506" s="51"/>
      <c r="D506" s="51"/>
      <c r="E506" s="51"/>
      <c r="F506" s="55"/>
      <c r="G506" s="56"/>
      <c r="H506" s="57"/>
      <c r="I506" s="51"/>
      <c r="J506" s="51"/>
      <c r="K506" s="58"/>
      <c r="L506" s="59"/>
      <c r="M506" s="58"/>
      <c r="N506" s="58"/>
      <c r="O506" s="51"/>
      <c r="P506" s="51"/>
      <c r="Q506" s="37"/>
      <c r="R506" s="70"/>
      <c r="S506" s="70"/>
      <c r="T506" s="70"/>
      <c r="U506" s="71"/>
      <c r="V506" s="73"/>
      <c r="W506" s="75"/>
      <c r="X506" s="117"/>
      <c r="Y506" s="111"/>
      <c r="Z506" s="111"/>
      <c r="AH506" s="18"/>
      <c r="AI506" s="18"/>
    </row>
    <row r="507" spans="1:35">
      <c r="A507" s="51"/>
      <c r="B507" s="51"/>
      <c r="C507" s="51"/>
      <c r="D507" s="51"/>
      <c r="E507" s="51"/>
      <c r="F507" s="55"/>
      <c r="G507" s="56"/>
      <c r="H507" s="57"/>
      <c r="I507" s="51"/>
      <c r="J507" s="51"/>
      <c r="K507" s="58"/>
      <c r="L507" s="59"/>
      <c r="M507" s="58"/>
      <c r="N507" s="58"/>
      <c r="O507" s="51"/>
      <c r="P507" s="51"/>
      <c r="Q507" s="37"/>
      <c r="R507" s="70"/>
      <c r="S507" s="70"/>
      <c r="T507" s="70"/>
      <c r="U507" s="71"/>
      <c r="V507" s="73"/>
      <c r="W507" s="75"/>
      <c r="X507" s="117"/>
      <c r="Y507" s="111"/>
      <c r="Z507" s="111"/>
      <c r="AH507" s="18"/>
      <c r="AI507" s="18"/>
    </row>
    <row r="508" spans="1:35">
      <c r="A508" s="51"/>
      <c r="B508" s="51"/>
      <c r="C508" s="51"/>
      <c r="D508" s="51"/>
      <c r="E508" s="51"/>
      <c r="F508" s="55"/>
      <c r="G508" s="56"/>
      <c r="H508" s="57"/>
      <c r="I508" s="51"/>
      <c r="J508" s="51"/>
      <c r="K508" s="58"/>
      <c r="L508" s="59"/>
      <c r="M508" s="58"/>
      <c r="N508" s="58"/>
      <c r="O508" s="51"/>
      <c r="P508" s="51"/>
      <c r="Q508" s="37"/>
      <c r="R508" s="70"/>
      <c r="S508" s="70"/>
      <c r="T508" s="70"/>
      <c r="U508" s="71"/>
      <c r="V508" s="73"/>
      <c r="W508" s="75"/>
      <c r="X508" s="117"/>
      <c r="Y508" s="111"/>
      <c r="Z508" s="111"/>
      <c r="AH508" s="18"/>
      <c r="AI508" s="18"/>
    </row>
    <row r="509" spans="1:35">
      <c r="A509" s="51"/>
      <c r="B509" s="51"/>
      <c r="C509" s="51"/>
      <c r="D509" s="51"/>
      <c r="E509" s="51"/>
      <c r="F509" s="55"/>
      <c r="G509" s="56"/>
      <c r="H509" s="57"/>
      <c r="I509" s="51"/>
      <c r="J509" s="51"/>
      <c r="K509" s="58"/>
      <c r="L509" s="59"/>
      <c r="M509" s="58"/>
      <c r="N509" s="58"/>
      <c r="O509" s="51"/>
      <c r="P509" s="51"/>
      <c r="Q509" s="37"/>
      <c r="R509" s="70"/>
      <c r="S509" s="70"/>
      <c r="T509" s="70"/>
      <c r="U509" s="71"/>
      <c r="V509" s="73"/>
      <c r="W509" s="75"/>
      <c r="X509" s="117"/>
      <c r="Y509" s="111"/>
      <c r="Z509" s="111"/>
      <c r="AH509" s="18"/>
      <c r="AI509" s="18"/>
    </row>
    <row r="510" spans="1:35">
      <c r="A510" s="51"/>
      <c r="B510" s="51"/>
      <c r="C510" s="51"/>
      <c r="D510" s="51"/>
      <c r="E510" s="51"/>
      <c r="F510" s="55"/>
      <c r="G510" s="56"/>
      <c r="H510" s="57"/>
      <c r="I510" s="51"/>
      <c r="J510" s="51"/>
      <c r="K510" s="58"/>
      <c r="L510" s="59"/>
      <c r="M510" s="58"/>
      <c r="N510" s="58"/>
      <c r="O510" s="51"/>
      <c r="P510" s="51"/>
      <c r="Q510" s="37"/>
      <c r="R510" s="70"/>
      <c r="S510" s="70"/>
      <c r="T510" s="70"/>
      <c r="U510" s="71"/>
      <c r="V510" s="73"/>
      <c r="W510" s="75"/>
      <c r="X510" s="117"/>
      <c r="Y510" s="111"/>
      <c r="Z510" s="111"/>
      <c r="AH510" s="18"/>
      <c r="AI510" s="18"/>
    </row>
    <row r="511" spans="1:35">
      <c r="A511" s="51"/>
      <c r="B511" s="51"/>
      <c r="C511" s="51"/>
      <c r="D511" s="51"/>
      <c r="E511" s="51"/>
      <c r="F511" s="55"/>
      <c r="G511" s="56"/>
      <c r="H511" s="57"/>
      <c r="I511" s="51"/>
      <c r="J511" s="51"/>
      <c r="K511" s="58"/>
      <c r="L511" s="59"/>
      <c r="M511" s="58"/>
      <c r="N511" s="58"/>
      <c r="O511" s="51"/>
      <c r="P511" s="51"/>
      <c r="Q511" s="37"/>
      <c r="R511" s="70"/>
      <c r="S511" s="70"/>
      <c r="T511" s="70"/>
      <c r="U511" s="71"/>
      <c r="V511" s="73"/>
      <c r="W511" s="75"/>
      <c r="X511" s="117"/>
      <c r="Y511" s="111"/>
      <c r="Z511" s="111"/>
      <c r="AH511" s="18"/>
      <c r="AI511" s="18"/>
    </row>
    <row r="512" spans="1:35">
      <c r="A512" s="51"/>
      <c r="B512" s="51"/>
      <c r="C512" s="51"/>
      <c r="D512" s="51"/>
      <c r="E512" s="51"/>
      <c r="F512" s="55"/>
      <c r="G512" s="56"/>
      <c r="H512" s="57"/>
      <c r="I512" s="51"/>
      <c r="J512" s="51"/>
      <c r="K512" s="58"/>
      <c r="L512" s="59"/>
      <c r="M512" s="58"/>
      <c r="N512" s="58"/>
      <c r="O512" s="51"/>
      <c r="P512" s="51"/>
      <c r="Q512" s="37"/>
      <c r="R512" s="70"/>
      <c r="S512" s="70"/>
      <c r="T512" s="70"/>
      <c r="U512" s="71"/>
      <c r="V512" s="73"/>
      <c r="W512" s="75"/>
      <c r="X512" s="117"/>
      <c r="Y512" s="111"/>
      <c r="Z512" s="111"/>
      <c r="AH512" s="18"/>
      <c r="AI512" s="18"/>
    </row>
    <row r="513" spans="1:35">
      <c r="A513" s="51"/>
      <c r="B513" s="51"/>
      <c r="C513" s="51"/>
      <c r="D513" s="51"/>
      <c r="E513" s="51"/>
      <c r="F513" s="55"/>
      <c r="G513" s="56"/>
      <c r="H513" s="57"/>
      <c r="I513" s="51"/>
      <c r="J513" s="51"/>
      <c r="K513" s="58"/>
      <c r="L513" s="59"/>
      <c r="M513" s="58"/>
      <c r="N513" s="58"/>
      <c r="O513" s="51"/>
      <c r="P513" s="51"/>
      <c r="Q513" s="37"/>
      <c r="R513" s="70"/>
      <c r="S513" s="70"/>
      <c r="T513" s="70"/>
      <c r="U513" s="71"/>
      <c r="V513" s="73"/>
      <c r="W513" s="75"/>
      <c r="X513" s="117"/>
      <c r="Y513" s="111"/>
      <c r="Z513" s="111"/>
      <c r="AH513" s="18"/>
      <c r="AI513" s="18"/>
    </row>
    <row r="514" spans="1:35">
      <c r="A514" s="51"/>
      <c r="B514" s="51"/>
      <c r="C514" s="51"/>
      <c r="D514" s="51"/>
      <c r="E514" s="51"/>
      <c r="F514" s="55"/>
      <c r="G514" s="56"/>
      <c r="H514" s="57"/>
      <c r="I514" s="51"/>
      <c r="J514" s="51"/>
      <c r="K514" s="58"/>
      <c r="L514" s="59"/>
      <c r="M514" s="58"/>
      <c r="N514" s="58"/>
      <c r="O514" s="51"/>
      <c r="P514" s="51"/>
      <c r="Q514" s="37"/>
      <c r="R514" s="70"/>
      <c r="S514" s="70"/>
      <c r="T514" s="70"/>
      <c r="U514" s="71"/>
      <c r="V514" s="73"/>
      <c r="W514" s="75"/>
      <c r="X514" s="117"/>
      <c r="Y514" s="111"/>
      <c r="Z514" s="111"/>
      <c r="AH514" s="18"/>
      <c r="AI514" s="18"/>
    </row>
    <row r="515" spans="1:35">
      <c r="A515" s="51"/>
      <c r="B515" s="51"/>
      <c r="C515" s="51"/>
      <c r="D515" s="51"/>
      <c r="E515" s="51"/>
      <c r="F515" s="55"/>
      <c r="G515" s="56"/>
      <c r="H515" s="57"/>
      <c r="I515" s="51"/>
      <c r="J515" s="51"/>
      <c r="K515" s="58"/>
      <c r="L515" s="59"/>
      <c r="M515" s="58"/>
      <c r="N515" s="58"/>
      <c r="O515" s="51"/>
      <c r="P515" s="51"/>
      <c r="Q515" s="37"/>
      <c r="R515" s="70"/>
      <c r="S515" s="70"/>
      <c r="T515" s="70"/>
      <c r="U515" s="71"/>
      <c r="V515" s="73"/>
      <c r="W515" s="75"/>
      <c r="X515" s="117"/>
      <c r="Y515" s="111"/>
      <c r="Z515" s="111"/>
      <c r="AH515" s="18"/>
      <c r="AI515" s="18"/>
    </row>
    <row r="516" spans="1:35">
      <c r="A516" s="51"/>
      <c r="B516" s="51"/>
      <c r="C516" s="51"/>
      <c r="D516" s="51"/>
      <c r="E516" s="51"/>
      <c r="F516" s="55"/>
      <c r="G516" s="56"/>
      <c r="H516" s="57"/>
      <c r="I516" s="51"/>
      <c r="J516" s="51"/>
      <c r="K516" s="58"/>
      <c r="L516" s="59"/>
      <c r="M516" s="58"/>
      <c r="N516" s="58"/>
      <c r="O516" s="51"/>
      <c r="P516" s="51"/>
      <c r="Q516" s="37"/>
      <c r="R516" s="70"/>
      <c r="S516" s="70"/>
      <c r="T516" s="70"/>
      <c r="U516" s="71"/>
      <c r="V516" s="73"/>
      <c r="W516" s="75"/>
      <c r="X516" s="117"/>
      <c r="Y516" s="111"/>
      <c r="Z516" s="111"/>
      <c r="AH516" s="18"/>
      <c r="AI516" s="18"/>
    </row>
    <row r="517" spans="1:35">
      <c r="A517" s="51"/>
      <c r="B517" s="51"/>
      <c r="C517" s="51"/>
      <c r="D517" s="51"/>
      <c r="E517" s="51"/>
      <c r="F517" s="55"/>
      <c r="G517" s="56"/>
      <c r="H517" s="57"/>
      <c r="I517" s="51"/>
      <c r="J517" s="51"/>
      <c r="K517" s="58"/>
      <c r="L517" s="59"/>
      <c r="M517" s="58"/>
      <c r="N517" s="58"/>
      <c r="O517" s="51"/>
      <c r="P517" s="51"/>
      <c r="Q517" s="37"/>
      <c r="R517" s="70"/>
      <c r="S517" s="70"/>
      <c r="T517" s="70"/>
      <c r="U517" s="71"/>
      <c r="V517" s="73"/>
      <c r="W517" s="75"/>
      <c r="X517" s="117"/>
      <c r="Y517" s="111"/>
      <c r="Z517" s="111"/>
      <c r="AH517" s="18"/>
      <c r="AI517" s="18"/>
    </row>
    <row r="518" spans="1:35">
      <c r="A518" s="51"/>
      <c r="B518" s="51"/>
      <c r="C518" s="51"/>
      <c r="D518" s="51"/>
      <c r="E518" s="51"/>
      <c r="F518" s="55"/>
      <c r="G518" s="56"/>
      <c r="H518" s="57"/>
      <c r="I518" s="51"/>
      <c r="J518" s="51"/>
      <c r="K518" s="58"/>
      <c r="L518" s="59"/>
      <c r="M518" s="58"/>
      <c r="N518" s="58"/>
      <c r="O518" s="51"/>
      <c r="P518" s="51"/>
      <c r="Q518" s="37"/>
      <c r="R518" s="70"/>
      <c r="S518" s="70"/>
      <c r="T518" s="70"/>
      <c r="U518" s="71"/>
      <c r="V518" s="73"/>
      <c r="W518" s="75"/>
      <c r="X518" s="117"/>
      <c r="Y518" s="111"/>
      <c r="Z518" s="111"/>
      <c r="AH518" s="18"/>
      <c r="AI518" s="18"/>
    </row>
    <row r="519" spans="1:35">
      <c r="A519" s="51"/>
      <c r="B519" s="51"/>
      <c r="C519" s="51"/>
      <c r="D519" s="51"/>
      <c r="E519" s="51"/>
      <c r="F519" s="55"/>
      <c r="G519" s="56"/>
      <c r="H519" s="57"/>
      <c r="I519" s="51"/>
      <c r="J519" s="51"/>
      <c r="K519" s="58"/>
      <c r="L519" s="59"/>
      <c r="M519" s="58"/>
      <c r="N519" s="58"/>
      <c r="O519" s="51"/>
      <c r="P519" s="51"/>
      <c r="Q519" s="37"/>
      <c r="R519" s="70"/>
      <c r="S519" s="70"/>
      <c r="T519" s="70"/>
      <c r="U519" s="71"/>
      <c r="V519" s="73"/>
      <c r="W519" s="75"/>
      <c r="X519" s="117"/>
      <c r="Y519" s="111"/>
      <c r="Z519" s="111"/>
      <c r="AH519" s="18"/>
      <c r="AI519" s="18"/>
    </row>
    <row r="520" spans="1:35">
      <c r="A520" s="51"/>
      <c r="B520" s="51"/>
      <c r="C520" s="51"/>
      <c r="D520" s="51"/>
      <c r="E520" s="51"/>
      <c r="F520" s="55"/>
      <c r="G520" s="56"/>
      <c r="H520" s="57"/>
      <c r="I520" s="51"/>
      <c r="J520" s="51"/>
      <c r="K520" s="58"/>
      <c r="L520" s="59"/>
      <c r="M520" s="58"/>
      <c r="N520" s="58"/>
      <c r="O520" s="51"/>
      <c r="P520" s="51"/>
      <c r="Q520" s="37"/>
      <c r="R520" s="70"/>
      <c r="S520" s="70"/>
      <c r="T520" s="70"/>
      <c r="U520" s="71"/>
      <c r="V520" s="73"/>
      <c r="W520" s="75"/>
      <c r="X520" s="117"/>
      <c r="Y520" s="111"/>
      <c r="Z520" s="111"/>
      <c r="AH520" s="18"/>
      <c r="AI520" s="18"/>
    </row>
    <row r="521" spans="1:35">
      <c r="A521" s="51"/>
      <c r="B521" s="51"/>
      <c r="C521" s="51"/>
      <c r="D521" s="51"/>
      <c r="E521" s="51"/>
      <c r="F521" s="55"/>
      <c r="G521" s="56"/>
      <c r="H521" s="57"/>
      <c r="I521" s="51"/>
      <c r="J521" s="51"/>
      <c r="K521" s="58"/>
      <c r="L521" s="59"/>
      <c r="M521" s="58"/>
      <c r="N521" s="58"/>
      <c r="O521" s="51"/>
      <c r="P521" s="51"/>
      <c r="Q521" s="37"/>
      <c r="R521" s="70"/>
      <c r="S521" s="70"/>
      <c r="T521" s="70"/>
      <c r="U521" s="71"/>
      <c r="V521" s="73"/>
      <c r="W521" s="75"/>
      <c r="X521" s="117"/>
      <c r="Y521" s="111"/>
      <c r="Z521" s="111"/>
      <c r="AH521" s="18"/>
      <c r="AI521" s="18"/>
    </row>
    <row r="522" spans="1:35">
      <c r="A522" s="51"/>
      <c r="B522" s="51"/>
      <c r="C522" s="51"/>
      <c r="D522" s="51"/>
      <c r="E522" s="51"/>
      <c r="F522" s="55"/>
      <c r="G522" s="56"/>
      <c r="H522" s="57"/>
      <c r="I522" s="51"/>
      <c r="J522" s="51"/>
      <c r="K522" s="58"/>
      <c r="L522" s="59"/>
      <c r="M522" s="58"/>
      <c r="N522" s="58"/>
      <c r="O522" s="51"/>
      <c r="P522" s="51"/>
      <c r="Q522" s="37"/>
      <c r="R522" s="70"/>
      <c r="S522" s="70"/>
      <c r="T522" s="70"/>
      <c r="U522" s="71"/>
      <c r="V522" s="73"/>
      <c r="W522" s="75"/>
      <c r="X522" s="117"/>
      <c r="Y522" s="111"/>
      <c r="Z522" s="111"/>
      <c r="AH522" s="18"/>
      <c r="AI522" s="18"/>
    </row>
    <row r="523" spans="1:35">
      <c r="A523" s="51"/>
      <c r="B523" s="51"/>
      <c r="C523" s="51"/>
      <c r="D523" s="51"/>
      <c r="E523" s="51"/>
      <c r="F523" s="55"/>
      <c r="G523" s="56"/>
      <c r="H523" s="57"/>
      <c r="I523" s="51"/>
      <c r="J523" s="51"/>
      <c r="K523" s="58"/>
      <c r="L523" s="59"/>
      <c r="M523" s="58"/>
      <c r="N523" s="58"/>
      <c r="O523" s="51"/>
      <c r="P523" s="51"/>
      <c r="Q523" s="37"/>
      <c r="R523" s="70"/>
      <c r="S523" s="70"/>
      <c r="T523" s="70"/>
      <c r="U523" s="71"/>
      <c r="V523" s="73"/>
      <c r="W523" s="75"/>
      <c r="X523" s="117"/>
      <c r="Y523" s="111"/>
      <c r="Z523" s="111"/>
      <c r="AH523" s="18"/>
      <c r="AI523" s="18"/>
    </row>
    <row r="524" spans="1:35">
      <c r="A524" s="51"/>
      <c r="B524" s="51"/>
      <c r="C524" s="51"/>
      <c r="D524" s="51"/>
      <c r="E524" s="51"/>
      <c r="F524" s="55"/>
      <c r="G524" s="56"/>
      <c r="H524" s="57"/>
      <c r="I524" s="51"/>
      <c r="J524" s="51"/>
      <c r="K524" s="58"/>
      <c r="L524" s="59"/>
      <c r="M524" s="58"/>
      <c r="N524" s="58"/>
      <c r="O524" s="51"/>
      <c r="P524" s="51"/>
      <c r="Q524" s="37"/>
      <c r="R524" s="70"/>
      <c r="S524" s="70"/>
      <c r="T524" s="70"/>
      <c r="U524" s="71"/>
      <c r="V524" s="73"/>
      <c r="W524" s="75"/>
      <c r="X524" s="117"/>
      <c r="Y524" s="111"/>
      <c r="Z524" s="111"/>
      <c r="AH524" s="18"/>
      <c r="AI524" s="18"/>
    </row>
    <row r="525" spans="1:35">
      <c r="A525" s="51"/>
      <c r="B525" s="51"/>
      <c r="C525" s="51"/>
      <c r="D525" s="51"/>
      <c r="E525" s="51"/>
      <c r="F525" s="55"/>
      <c r="G525" s="56"/>
      <c r="H525" s="57"/>
      <c r="I525" s="51"/>
      <c r="J525" s="51"/>
      <c r="K525" s="58"/>
      <c r="L525" s="59"/>
      <c r="M525" s="58"/>
      <c r="N525" s="58"/>
      <c r="O525" s="51"/>
      <c r="P525" s="51"/>
      <c r="Q525" s="37"/>
      <c r="R525" s="70"/>
      <c r="S525" s="70"/>
      <c r="T525" s="70"/>
      <c r="U525" s="71"/>
      <c r="V525" s="73"/>
      <c r="W525" s="75"/>
      <c r="X525" s="117"/>
      <c r="Y525" s="111"/>
      <c r="Z525" s="111"/>
      <c r="AH525" s="18"/>
      <c r="AI525" s="18"/>
    </row>
    <row r="526" spans="1:35">
      <c r="A526" s="51"/>
      <c r="B526" s="51"/>
      <c r="C526" s="51"/>
      <c r="D526" s="51"/>
      <c r="E526" s="51"/>
      <c r="F526" s="55"/>
      <c r="G526" s="56"/>
      <c r="H526" s="57"/>
      <c r="I526" s="51"/>
      <c r="J526" s="51"/>
      <c r="K526" s="58"/>
      <c r="L526" s="59"/>
      <c r="M526" s="58"/>
      <c r="N526" s="58"/>
      <c r="O526" s="51"/>
      <c r="P526" s="51"/>
      <c r="Q526" s="37"/>
      <c r="R526" s="70"/>
      <c r="S526" s="70"/>
      <c r="T526" s="70"/>
      <c r="U526" s="71"/>
      <c r="V526" s="73"/>
      <c r="W526" s="75"/>
      <c r="X526" s="117"/>
      <c r="Y526" s="111"/>
      <c r="Z526" s="111"/>
      <c r="AH526" s="18"/>
      <c r="AI526" s="18"/>
    </row>
    <row r="527" spans="1:35">
      <c r="A527" s="51"/>
      <c r="B527" s="51"/>
      <c r="C527" s="51"/>
      <c r="D527" s="51"/>
      <c r="E527" s="51"/>
      <c r="F527" s="55"/>
      <c r="G527" s="56"/>
      <c r="H527" s="57"/>
      <c r="I527" s="51"/>
      <c r="J527" s="51"/>
      <c r="K527" s="58"/>
      <c r="L527" s="59"/>
      <c r="M527" s="58"/>
      <c r="N527" s="58"/>
      <c r="O527" s="51"/>
      <c r="P527" s="51"/>
      <c r="Q527" s="37"/>
      <c r="R527" s="70"/>
      <c r="S527" s="70"/>
      <c r="T527" s="70"/>
      <c r="U527" s="71"/>
      <c r="V527" s="73"/>
      <c r="W527" s="75"/>
      <c r="X527" s="117"/>
      <c r="Y527" s="111"/>
      <c r="Z527" s="111"/>
      <c r="AH527" s="18"/>
      <c r="AI527" s="18"/>
    </row>
    <row r="528" spans="1:35">
      <c r="A528" s="51"/>
      <c r="B528" s="51"/>
      <c r="C528" s="51"/>
      <c r="D528" s="51"/>
      <c r="E528" s="51"/>
      <c r="F528" s="55"/>
      <c r="G528" s="56"/>
      <c r="H528" s="57"/>
      <c r="I528" s="51"/>
      <c r="J528" s="51"/>
      <c r="K528" s="58"/>
      <c r="L528" s="59"/>
      <c r="M528" s="58"/>
      <c r="N528" s="58"/>
      <c r="O528" s="51"/>
      <c r="P528" s="51"/>
      <c r="Q528" s="37"/>
      <c r="R528" s="70"/>
      <c r="S528" s="70"/>
      <c r="T528" s="70"/>
      <c r="U528" s="71"/>
      <c r="V528" s="73"/>
      <c r="W528" s="75"/>
      <c r="X528" s="117"/>
      <c r="Y528" s="111"/>
      <c r="Z528" s="111"/>
      <c r="AH528" s="18"/>
      <c r="AI528" s="18"/>
    </row>
    <row r="529" spans="1:35">
      <c r="A529" s="51"/>
      <c r="B529" s="51"/>
      <c r="C529" s="51"/>
      <c r="D529" s="51"/>
      <c r="E529" s="51"/>
      <c r="F529" s="55"/>
      <c r="G529" s="56"/>
      <c r="H529" s="57"/>
      <c r="I529" s="51"/>
      <c r="J529" s="51"/>
      <c r="K529" s="58"/>
      <c r="L529" s="59"/>
      <c r="M529" s="58"/>
      <c r="N529" s="58"/>
      <c r="O529" s="51"/>
      <c r="P529" s="51"/>
      <c r="Q529" s="37"/>
      <c r="R529" s="70"/>
      <c r="S529" s="70"/>
      <c r="T529" s="70"/>
      <c r="U529" s="71"/>
      <c r="V529" s="73"/>
      <c r="W529" s="75"/>
      <c r="X529" s="117"/>
      <c r="Y529" s="111"/>
      <c r="Z529" s="111"/>
      <c r="AH529" s="18"/>
      <c r="AI529" s="18"/>
    </row>
    <row r="530" spans="1:35">
      <c r="A530" s="51"/>
      <c r="B530" s="51"/>
      <c r="C530" s="51"/>
      <c r="D530" s="51"/>
      <c r="E530" s="51"/>
      <c r="F530" s="55"/>
      <c r="G530" s="56"/>
      <c r="H530" s="57"/>
      <c r="I530" s="51"/>
      <c r="J530" s="51"/>
      <c r="K530" s="58"/>
      <c r="L530" s="59"/>
      <c r="M530" s="58"/>
      <c r="N530" s="58"/>
      <c r="O530" s="51"/>
      <c r="P530" s="51"/>
      <c r="Q530" s="37"/>
      <c r="R530" s="70"/>
      <c r="S530" s="70"/>
      <c r="T530" s="70"/>
      <c r="U530" s="71"/>
      <c r="V530" s="73"/>
      <c r="W530" s="75"/>
      <c r="X530" s="117"/>
      <c r="Y530" s="111"/>
      <c r="Z530" s="111"/>
      <c r="AH530" s="18"/>
      <c r="AI530" s="18"/>
    </row>
    <row r="531" spans="1:35">
      <c r="A531" s="51"/>
      <c r="B531" s="51"/>
      <c r="C531" s="51"/>
      <c r="D531" s="51"/>
      <c r="E531" s="51"/>
      <c r="F531" s="55"/>
      <c r="G531" s="56"/>
      <c r="H531" s="57"/>
      <c r="I531" s="51"/>
      <c r="J531" s="51"/>
      <c r="K531" s="58"/>
      <c r="L531" s="59"/>
      <c r="M531" s="58"/>
      <c r="N531" s="58"/>
      <c r="O531" s="51"/>
      <c r="P531" s="51"/>
      <c r="Q531" s="37"/>
      <c r="R531" s="70"/>
      <c r="S531" s="70"/>
      <c r="T531" s="70"/>
      <c r="U531" s="71"/>
      <c r="V531" s="73"/>
      <c r="W531" s="75"/>
      <c r="X531" s="117"/>
      <c r="Y531" s="111"/>
      <c r="Z531" s="111"/>
      <c r="AH531" s="18"/>
      <c r="AI531" s="18"/>
    </row>
    <row r="532" spans="1:35">
      <c r="A532" s="51"/>
      <c r="B532" s="51"/>
      <c r="C532" s="51"/>
      <c r="D532" s="51"/>
      <c r="E532" s="51"/>
      <c r="F532" s="55"/>
      <c r="G532" s="56"/>
      <c r="H532" s="57"/>
      <c r="I532" s="51"/>
      <c r="J532" s="51"/>
      <c r="K532" s="58"/>
      <c r="L532" s="59"/>
      <c r="M532" s="58"/>
      <c r="N532" s="58"/>
      <c r="O532" s="51"/>
      <c r="P532" s="51"/>
      <c r="Q532" s="37"/>
      <c r="R532" s="70"/>
      <c r="S532" s="70"/>
      <c r="T532" s="70"/>
      <c r="U532" s="71"/>
      <c r="V532" s="73"/>
      <c r="W532" s="75"/>
      <c r="X532" s="117"/>
      <c r="Y532" s="111"/>
      <c r="Z532" s="111"/>
      <c r="AH532" s="18"/>
      <c r="AI532" s="18"/>
    </row>
    <row r="533" spans="1:35">
      <c r="A533" s="51"/>
      <c r="B533" s="51"/>
      <c r="C533" s="51"/>
      <c r="D533" s="51"/>
      <c r="E533" s="51"/>
      <c r="F533" s="55"/>
      <c r="G533" s="56"/>
      <c r="H533" s="57"/>
      <c r="I533" s="51"/>
      <c r="J533" s="51"/>
      <c r="K533" s="58"/>
      <c r="L533" s="59"/>
      <c r="M533" s="58"/>
      <c r="N533" s="58"/>
      <c r="O533" s="51"/>
      <c r="P533" s="51"/>
      <c r="Q533" s="37"/>
      <c r="R533" s="70"/>
      <c r="S533" s="70"/>
      <c r="T533" s="70"/>
      <c r="U533" s="71"/>
      <c r="V533" s="73"/>
      <c r="W533" s="75"/>
      <c r="X533" s="117"/>
      <c r="Y533" s="111"/>
      <c r="Z533" s="111"/>
      <c r="AH533" s="18"/>
      <c r="AI533" s="18"/>
    </row>
    <row r="534" spans="1:35">
      <c r="A534" s="51"/>
      <c r="B534" s="51"/>
      <c r="C534" s="51"/>
      <c r="D534" s="51"/>
      <c r="E534" s="51"/>
      <c r="F534" s="55"/>
      <c r="G534" s="56"/>
      <c r="H534" s="57"/>
      <c r="I534" s="51"/>
      <c r="J534" s="51"/>
      <c r="K534" s="58"/>
      <c r="L534" s="59"/>
      <c r="M534" s="58"/>
      <c r="N534" s="58"/>
      <c r="O534" s="51"/>
      <c r="P534" s="51"/>
      <c r="Q534" s="37"/>
      <c r="R534" s="70"/>
      <c r="S534" s="70"/>
      <c r="T534" s="70"/>
      <c r="U534" s="71"/>
      <c r="V534" s="73"/>
      <c r="W534" s="75"/>
      <c r="X534" s="117"/>
      <c r="Y534" s="111"/>
      <c r="Z534" s="111"/>
      <c r="AH534" s="18"/>
      <c r="AI534" s="18"/>
    </row>
    <row r="535" spans="1:35">
      <c r="A535" s="51"/>
      <c r="B535" s="51"/>
      <c r="C535" s="51"/>
      <c r="D535" s="51"/>
      <c r="E535" s="51"/>
      <c r="F535" s="55"/>
      <c r="G535" s="56"/>
      <c r="H535" s="57"/>
      <c r="I535" s="51"/>
      <c r="J535" s="51"/>
      <c r="K535" s="58"/>
      <c r="L535" s="59"/>
      <c r="M535" s="58"/>
      <c r="N535" s="58"/>
      <c r="O535" s="51"/>
      <c r="P535" s="51"/>
      <c r="Q535" s="37"/>
      <c r="R535" s="70"/>
      <c r="S535" s="70"/>
      <c r="T535" s="70"/>
      <c r="U535" s="71"/>
      <c r="V535" s="73"/>
      <c r="W535" s="75"/>
      <c r="X535" s="117"/>
      <c r="Y535" s="111"/>
      <c r="Z535" s="111"/>
      <c r="AH535" s="18"/>
      <c r="AI535" s="18"/>
    </row>
    <row r="536" spans="1:35">
      <c r="A536" s="51"/>
      <c r="B536" s="51"/>
      <c r="C536" s="51"/>
      <c r="D536" s="51"/>
      <c r="E536" s="51"/>
      <c r="F536" s="55"/>
      <c r="G536" s="56"/>
      <c r="H536" s="57"/>
      <c r="I536" s="51"/>
      <c r="J536" s="51"/>
      <c r="K536" s="58"/>
      <c r="L536" s="59"/>
      <c r="M536" s="58"/>
      <c r="N536" s="58"/>
      <c r="O536" s="51"/>
      <c r="P536" s="51"/>
      <c r="Q536" s="37"/>
      <c r="R536" s="70"/>
      <c r="S536" s="70"/>
      <c r="T536" s="70"/>
      <c r="U536" s="71"/>
      <c r="V536" s="73"/>
      <c r="W536" s="75"/>
      <c r="X536" s="117"/>
      <c r="Y536" s="111"/>
      <c r="Z536" s="111"/>
      <c r="AH536" s="18"/>
      <c r="AI536" s="18"/>
    </row>
    <row r="537" spans="1:35">
      <c r="A537" s="51"/>
      <c r="B537" s="51"/>
      <c r="C537" s="51"/>
      <c r="D537" s="51"/>
      <c r="E537" s="51"/>
      <c r="F537" s="55"/>
      <c r="G537" s="56"/>
      <c r="H537" s="57"/>
      <c r="I537" s="51"/>
      <c r="J537" s="51"/>
      <c r="K537" s="58"/>
      <c r="L537" s="59"/>
      <c r="M537" s="58"/>
      <c r="N537" s="58"/>
      <c r="O537" s="51"/>
      <c r="P537" s="51"/>
      <c r="Q537" s="37"/>
      <c r="R537" s="70"/>
      <c r="S537" s="70"/>
      <c r="T537" s="70"/>
      <c r="U537" s="71"/>
      <c r="V537" s="73"/>
      <c r="W537" s="75"/>
      <c r="X537" s="117"/>
      <c r="Y537" s="111"/>
      <c r="Z537" s="111"/>
      <c r="AH537" s="18"/>
      <c r="AI537" s="18"/>
    </row>
    <row r="538" spans="1:35">
      <c r="A538" s="51"/>
      <c r="B538" s="51"/>
      <c r="C538" s="51"/>
      <c r="D538" s="51"/>
      <c r="E538" s="51"/>
      <c r="F538" s="55"/>
      <c r="G538" s="56"/>
      <c r="H538" s="57"/>
      <c r="I538" s="51"/>
      <c r="J538" s="51"/>
      <c r="K538" s="58"/>
      <c r="L538" s="59"/>
      <c r="M538" s="58"/>
      <c r="N538" s="58"/>
      <c r="O538" s="51"/>
      <c r="P538" s="51"/>
      <c r="Q538" s="37"/>
      <c r="R538" s="70"/>
      <c r="S538" s="70"/>
      <c r="T538" s="70"/>
      <c r="U538" s="71"/>
      <c r="V538" s="73"/>
      <c r="W538" s="75"/>
      <c r="X538" s="117"/>
      <c r="Y538" s="111"/>
      <c r="Z538" s="111"/>
      <c r="AH538" s="18"/>
      <c r="AI538" s="18"/>
    </row>
    <row r="539" spans="1:35">
      <c r="A539" s="51"/>
      <c r="B539" s="51"/>
      <c r="C539" s="51"/>
      <c r="D539" s="51"/>
      <c r="E539" s="51"/>
      <c r="F539" s="55"/>
      <c r="G539" s="56"/>
      <c r="H539" s="57"/>
      <c r="I539" s="51"/>
      <c r="J539" s="51"/>
      <c r="K539" s="58"/>
      <c r="L539" s="59"/>
      <c r="M539" s="58"/>
      <c r="N539" s="58"/>
      <c r="O539" s="51"/>
      <c r="P539" s="51"/>
      <c r="Q539" s="37"/>
      <c r="R539" s="70"/>
      <c r="S539" s="70"/>
      <c r="T539" s="70"/>
      <c r="U539" s="71"/>
      <c r="V539" s="73"/>
      <c r="W539" s="75"/>
      <c r="X539" s="117"/>
      <c r="Y539" s="111"/>
      <c r="Z539" s="111"/>
      <c r="AH539" s="18"/>
      <c r="AI539" s="18"/>
    </row>
    <row r="540" spans="1:35">
      <c r="A540" s="51"/>
      <c r="B540" s="51"/>
      <c r="C540" s="51"/>
      <c r="D540" s="51"/>
      <c r="E540" s="51"/>
      <c r="F540" s="55"/>
      <c r="G540" s="56"/>
      <c r="H540" s="57"/>
      <c r="I540" s="51"/>
      <c r="J540" s="51"/>
      <c r="K540" s="58"/>
      <c r="L540" s="59"/>
      <c r="M540" s="58"/>
      <c r="N540" s="58"/>
      <c r="O540" s="51"/>
      <c r="P540" s="51"/>
      <c r="Q540" s="37"/>
      <c r="R540" s="70"/>
      <c r="S540" s="70"/>
      <c r="T540" s="70"/>
      <c r="U540" s="71"/>
      <c r="V540" s="73"/>
      <c r="W540" s="75"/>
      <c r="X540" s="117"/>
      <c r="Y540" s="111"/>
      <c r="Z540" s="111"/>
      <c r="AH540" s="18"/>
      <c r="AI540" s="18"/>
    </row>
    <row r="541" spans="1:35">
      <c r="A541" s="51"/>
      <c r="B541" s="51"/>
      <c r="C541" s="51"/>
      <c r="D541" s="51"/>
      <c r="E541" s="51"/>
      <c r="F541" s="55"/>
      <c r="G541" s="56"/>
      <c r="H541" s="57"/>
      <c r="I541" s="51"/>
      <c r="J541" s="51"/>
      <c r="K541" s="58"/>
      <c r="L541" s="59"/>
      <c r="M541" s="58"/>
      <c r="N541" s="58"/>
      <c r="O541" s="51"/>
      <c r="P541" s="51"/>
      <c r="Q541" s="37"/>
      <c r="R541" s="70"/>
      <c r="S541" s="70"/>
      <c r="T541" s="70"/>
      <c r="U541" s="71"/>
      <c r="V541" s="73"/>
      <c r="W541" s="75"/>
      <c r="X541" s="117"/>
      <c r="Y541" s="111"/>
      <c r="Z541" s="111"/>
      <c r="AH541" s="18"/>
      <c r="AI541" s="18"/>
    </row>
    <row r="542" spans="1:35">
      <c r="A542" s="51"/>
      <c r="B542" s="51"/>
      <c r="C542" s="51"/>
      <c r="D542" s="51"/>
      <c r="E542" s="51"/>
      <c r="F542" s="55"/>
      <c r="G542" s="56"/>
      <c r="H542" s="57"/>
      <c r="I542" s="51"/>
      <c r="J542" s="51"/>
      <c r="K542" s="58"/>
      <c r="L542" s="59"/>
      <c r="M542" s="58"/>
      <c r="N542" s="58"/>
      <c r="O542" s="51"/>
      <c r="P542" s="51"/>
      <c r="Q542" s="37"/>
      <c r="R542" s="70"/>
      <c r="S542" s="70"/>
      <c r="T542" s="70"/>
      <c r="U542" s="71"/>
      <c r="V542" s="73"/>
      <c r="W542" s="75"/>
      <c r="X542" s="117"/>
      <c r="Y542" s="111"/>
      <c r="Z542" s="111"/>
      <c r="AH542" s="18"/>
      <c r="AI542" s="18"/>
    </row>
    <row r="543" spans="1:35">
      <c r="A543" s="51"/>
      <c r="B543" s="51"/>
      <c r="C543" s="51"/>
      <c r="D543" s="51"/>
      <c r="E543" s="51"/>
      <c r="F543" s="55"/>
      <c r="G543" s="56"/>
      <c r="H543" s="57"/>
      <c r="I543" s="51"/>
      <c r="J543" s="51"/>
      <c r="K543" s="58"/>
      <c r="L543" s="59"/>
      <c r="M543" s="58"/>
      <c r="N543" s="58"/>
      <c r="O543" s="51"/>
      <c r="P543" s="51"/>
      <c r="Q543" s="37"/>
      <c r="R543" s="70"/>
      <c r="S543" s="70"/>
      <c r="T543" s="70"/>
      <c r="U543" s="71"/>
      <c r="V543" s="73"/>
      <c r="W543" s="75"/>
      <c r="X543" s="117"/>
      <c r="Y543" s="111"/>
      <c r="Z543" s="111"/>
      <c r="AH543" s="18"/>
      <c r="AI543" s="18"/>
    </row>
    <row r="544" spans="1:35">
      <c r="A544" s="51"/>
      <c r="B544" s="51"/>
      <c r="C544" s="51"/>
      <c r="D544" s="51"/>
      <c r="E544" s="51"/>
      <c r="F544" s="55"/>
      <c r="G544" s="56"/>
      <c r="H544" s="57"/>
      <c r="I544" s="51"/>
      <c r="J544" s="51"/>
      <c r="K544" s="58"/>
      <c r="L544" s="59"/>
      <c r="M544" s="58"/>
      <c r="N544" s="58"/>
      <c r="O544" s="51"/>
      <c r="P544" s="51"/>
      <c r="Q544" s="37"/>
      <c r="R544" s="70"/>
      <c r="S544" s="70"/>
      <c r="T544" s="70"/>
      <c r="U544" s="71"/>
      <c r="V544" s="73"/>
      <c r="W544" s="75"/>
      <c r="X544" s="117"/>
      <c r="Y544" s="111"/>
      <c r="Z544" s="111"/>
      <c r="AH544" s="18"/>
      <c r="AI544" s="18"/>
    </row>
    <row r="545" spans="1:35">
      <c r="A545" s="51"/>
      <c r="B545" s="51"/>
      <c r="C545" s="51"/>
      <c r="D545" s="51"/>
      <c r="E545" s="51"/>
      <c r="F545" s="55"/>
      <c r="G545" s="56"/>
      <c r="H545" s="57"/>
      <c r="I545" s="51"/>
      <c r="J545" s="51"/>
      <c r="K545" s="58"/>
      <c r="L545" s="59"/>
      <c r="M545" s="58"/>
      <c r="N545" s="58"/>
      <c r="O545" s="51"/>
      <c r="P545" s="51"/>
      <c r="Q545" s="37"/>
      <c r="R545" s="70"/>
      <c r="S545" s="70"/>
      <c r="T545" s="70"/>
      <c r="U545" s="71"/>
      <c r="V545" s="73"/>
      <c r="W545" s="75"/>
      <c r="X545" s="117"/>
      <c r="Y545" s="111"/>
      <c r="Z545" s="111"/>
      <c r="AH545" s="18"/>
      <c r="AI545" s="18"/>
    </row>
    <row r="546" spans="1:35">
      <c r="A546" s="51"/>
      <c r="B546" s="51"/>
      <c r="C546" s="51"/>
      <c r="D546" s="51"/>
      <c r="E546" s="51"/>
      <c r="F546" s="55"/>
      <c r="G546" s="56"/>
      <c r="H546" s="57"/>
      <c r="I546" s="51"/>
      <c r="J546" s="51"/>
      <c r="K546" s="58"/>
      <c r="L546" s="59"/>
      <c r="M546" s="58"/>
      <c r="N546" s="58"/>
      <c r="O546" s="51"/>
      <c r="P546" s="51"/>
      <c r="Q546" s="37"/>
      <c r="R546" s="70"/>
      <c r="S546" s="70"/>
      <c r="T546" s="70"/>
      <c r="U546" s="71"/>
      <c r="V546" s="73"/>
      <c r="W546" s="75"/>
      <c r="X546" s="117"/>
      <c r="Y546" s="111"/>
      <c r="Z546" s="111"/>
      <c r="AH546" s="18"/>
      <c r="AI546" s="18"/>
    </row>
    <row r="547" spans="1:35">
      <c r="A547" s="51"/>
      <c r="B547" s="51"/>
      <c r="C547" s="51"/>
      <c r="D547" s="51"/>
      <c r="E547" s="51"/>
      <c r="F547" s="55"/>
      <c r="G547" s="56"/>
      <c r="H547" s="57"/>
      <c r="I547" s="51"/>
      <c r="J547" s="51"/>
      <c r="K547" s="58"/>
      <c r="L547" s="59"/>
      <c r="M547" s="58"/>
      <c r="N547" s="58"/>
      <c r="O547" s="51"/>
      <c r="P547" s="51"/>
      <c r="Q547" s="37"/>
      <c r="R547" s="70"/>
      <c r="S547" s="70"/>
      <c r="T547" s="70"/>
      <c r="U547" s="71"/>
      <c r="V547" s="73"/>
      <c r="W547" s="75"/>
      <c r="X547" s="117"/>
      <c r="Y547" s="111"/>
      <c r="Z547" s="111"/>
      <c r="AH547" s="18"/>
      <c r="AI547" s="18"/>
    </row>
    <row r="548" spans="1:35">
      <c r="A548" s="51"/>
      <c r="B548" s="51"/>
      <c r="C548" s="51"/>
      <c r="D548" s="51"/>
      <c r="E548" s="51"/>
      <c r="F548" s="55"/>
      <c r="G548" s="56"/>
      <c r="H548" s="57"/>
      <c r="I548" s="51"/>
      <c r="J548" s="51"/>
      <c r="K548" s="58"/>
      <c r="L548" s="59"/>
      <c r="M548" s="58"/>
      <c r="N548" s="58"/>
      <c r="O548" s="51"/>
      <c r="P548" s="51"/>
      <c r="Q548" s="37"/>
      <c r="R548" s="70"/>
      <c r="S548" s="70"/>
      <c r="T548" s="70"/>
      <c r="U548" s="71"/>
      <c r="V548" s="73"/>
      <c r="W548" s="75"/>
      <c r="X548" s="117"/>
      <c r="Y548" s="111"/>
      <c r="Z548" s="111"/>
      <c r="AH548" s="18"/>
      <c r="AI548" s="18"/>
    </row>
    <row r="549" spans="1:35">
      <c r="A549" s="51"/>
      <c r="B549" s="51"/>
      <c r="C549" s="51"/>
      <c r="D549" s="51"/>
      <c r="E549" s="51"/>
      <c r="F549" s="55"/>
      <c r="G549" s="56"/>
      <c r="H549" s="57"/>
      <c r="I549" s="51"/>
      <c r="J549" s="51"/>
      <c r="K549" s="58"/>
      <c r="L549" s="59"/>
      <c r="M549" s="58"/>
      <c r="N549" s="58"/>
      <c r="O549" s="51"/>
      <c r="P549" s="51"/>
      <c r="Q549" s="37"/>
      <c r="R549" s="70"/>
      <c r="S549" s="70"/>
      <c r="T549" s="70"/>
      <c r="U549" s="71"/>
      <c r="V549" s="73"/>
      <c r="W549" s="75"/>
      <c r="X549" s="117"/>
      <c r="Y549" s="111"/>
      <c r="Z549" s="111"/>
      <c r="AH549" s="18"/>
      <c r="AI549" s="18"/>
    </row>
    <row r="550" spans="1:35">
      <c r="A550" s="51"/>
      <c r="B550" s="51"/>
      <c r="C550" s="51"/>
      <c r="D550" s="51"/>
      <c r="E550" s="51"/>
      <c r="F550" s="55"/>
      <c r="G550" s="56"/>
      <c r="H550" s="57"/>
      <c r="I550" s="51"/>
      <c r="J550" s="51"/>
      <c r="K550" s="58"/>
      <c r="L550" s="59"/>
      <c r="M550" s="58"/>
      <c r="N550" s="58"/>
      <c r="O550" s="51"/>
      <c r="P550" s="51"/>
      <c r="Q550" s="37"/>
      <c r="R550" s="70"/>
      <c r="S550" s="70"/>
      <c r="T550" s="70"/>
      <c r="U550" s="71"/>
      <c r="V550" s="73"/>
      <c r="W550" s="75"/>
      <c r="X550" s="117"/>
      <c r="Y550" s="111"/>
      <c r="Z550" s="111"/>
      <c r="AH550" s="18"/>
      <c r="AI550" s="18"/>
    </row>
    <row r="551" spans="1:35">
      <c r="A551" s="51"/>
      <c r="B551" s="51"/>
      <c r="C551" s="51"/>
      <c r="D551" s="51"/>
      <c r="E551" s="51"/>
      <c r="F551" s="55"/>
      <c r="G551" s="56"/>
      <c r="H551" s="57"/>
      <c r="I551" s="51"/>
      <c r="J551" s="51"/>
      <c r="K551" s="58"/>
      <c r="L551" s="59"/>
      <c r="M551" s="58"/>
      <c r="N551" s="58"/>
      <c r="O551" s="51"/>
      <c r="P551" s="51"/>
      <c r="Q551" s="37"/>
      <c r="R551" s="70"/>
      <c r="S551" s="70"/>
      <c r="T551" s="70"/>
      <c r="U551" s="71"/>
      <c r="V551" s="73"/>
      <c r="W551" s="75"/>
      <c r="X551" s="117"/>
      <c r="Y551" s="111"/>
      <c r="Z551" s="111"/>
      <c r="AH551" s="18"/>
      <c r="AI551" s="18"/>
    </row>
    <row r="552" spans="1:35">
      <c r="A552" s="51"/>
      <c r="B552" s="51"/>
      <c r="C552" s="51"/>
      <c r="D552" s="51"/>
      <c r="E552" s="51"/>
      <c r="F552" s="55"/>
      <c r="G552" s="56"/>
      <c r="H552" s="57"/>
      <c r="I552" s="51"/>
      <c r="J552" s="51"/>
      <c r="K552" s="58"/>
      <c r="L552" s="59"/>
      <c r="M552" s="58"/>
      <c r="N552" s="58"/>
      <c r="O552" s="51"/>
      <c r="P552" s="51"/>
      <c r="Q552" s="37"/>
      <c r="R552" s="70"/>
      <c r="S552" s="70"/>
      <c r="T552" s="70"/>
      <c r="U552" s="71"/>
      <c r="V552" s="73"/>
      <c r="W552" s="75"/>
      <c r="X552" s="117"/>
      <c r="Y552" s="111"/>
      <c r="Z552" s="111"/>
      <c r="AH552" s="18"/>
      <c r="AI552" s="18"/>
    </row>
    <row r="553" spans="1:35">
      <c r="A553" s="51"/>
      <c r="B553" s="51"/>
      <c r="C553" s="51"/>
      <c r="D553" s="51"/>
      <c r="E553" s="51"/>
      <c r="F553" s="55"/>
      <c r="G553" s="56"/>
      <c r="H553" s="57"/>
      <c r="I553" s="51"/>
      <c r="J553" s="51"/>
      <c r="K553" s="58"/>
      <c r="L553" s="59"/>
      <c r="M553" s="58"/>
      <c r="N553" s="58"/>
      <c r="O553" s="51"/>
      <c r="P553" s="51"/>
      <c r="Q553" s="37"/>
      <c r="R553" s="70"/>
      <c r="S553" s="70"/>
      <c r="T553" s="70"/>
      <c r="U553" s="71"/>
      <c r="V553" s="73"/>
      <c r="W553" s="75"/>
      <c r="X553" s="117"/>
      <c r="Y553" s="111"/>
      <c r="Z553" s="111"/>
      <c r="AH553" s="18"/>
      <c r="AI553" s="18"/>
    </row>
    <row r="554" spans="1:35">
      <c r="A554" s="51"/>
      <c r="B554" s="51"/>
      <c r="C554" s="51"/>
      <c r="D554" s="51"/>
      <c r="E554" s="51"/>
      <c r="F554" s="55"/>
      <c r="G554" s="56"/>
      <c r="H554" s="57"/>
      <c r="I554" s="51"/>
      <c r="J554" s="51"/>
      <c r="K554" s="58"/>
      <c r="L554" s="59"/>
      <c r="M554" s="58"/>
      <c r="N554" s="58"/>
      <c r="O554" s="51"/>
      <c r="P554" s="51"/>
      <c r="Q554" s="37"/>
      <c r="R554" s="70"/>
      <c r="S554" s="70"/>
      <c r="T554" s="70"/>
      <c r="U554" s="71"/>
      <c r="V554" s="73"/>
      <c r="W554" s="75"/>
      <c r="X554" s="117"/>
      <c r="Y554" s="111"/>
      <c r="Z554" s="111"/>
      <c r="AH554" s="18"/>
      <c r="AI554" s="18"/>
    </row>
    <row r="555" spans="1:35">
      <c r="A555" s="51"/>
      <c r="B555" s="51"/>
      <c r="C555" s="51"/>
      <c r="D555" s="51"/>
      <c r="E555" s="51"/>
      <c r="F555" s="55"/>
      <c r="G555" s="56"/>
      <c r="H555" s="57"/>
      <c r="I555" s="51"/>
      <c r="J555" s="51"/>
      <c r="K555" s="58"/>
      <c r="L555" s="59"/>
      <c r="M555" s="58"/>
      <c r="N555" s="58"/>
      <c r="O555" s="51"/>
      <c r="P555" s="51"/>
      <c r="Q555" s="37"/>
      <c r="R555" s="70"/>
      <c r="S555" s="70"/>
      <c r="T555" s="70"/>
      <c r="U555" s="71"/>
      <c r="V555" s="73"/>
      <c r="W555" s="75"/>
      <c r="X555" s="117"/>
      <c r="Y555" s="111"/>
      <c r="Z555" s="111"/>
      <c r="AH555" s="18"/>
      <c r="AI555" s="18"/>
    </row>
    <row r="556" spans="1:35">
      <c r="A556" s="51"/>
      <c r="B556" s="51"/>
      <c r="C556" s="51"/>
      <c r="D556" s="51"/>
      <c r="E556" s="51"/>
      <c r="F556" s="55"/>
      <c r="G556" s="56"/>
      <c r="H556" s="57"/>
      <c r="I556" s="51"/>
      <c r="J556" s="51"/>
      <c r="K556" s="58"/>
      <c r="L556" s="59"/>
      <c r="M556" s="58"/>
      <c r="N556" s="58"/>
      <c r="O556" s="51"/>
      <c r="P556" s="51"/>
      <c r="Q556" s="37"/>
      <c r="R556" s="70"/>
      <c r="S556" s="70"/>
      <c r="T556" s="70"/>
      <c r="U556" s="71"/>
      <c r="V556" s="73"/>
      <c r="W556" s="75"/>
      <c r="X556" s="117"/>
      <c r="Y556" s="111"/>
      <c r="Z556" s="111"/>
      <c r="AH556" s="18"/>
      <c r="AI556" s="18"/>
    </row>
    <row r="557" spans="1:35">
      <c r="A557" s="51"/>
      <c r="B557" s="51"/>
      <c r="C557" s="51"/>
      <c r="D557" s="51"/>
      <c r="E557" s="51"/>
      <c r="F557" s="55"/>
      <c r="G557" s="56"/>
      <c r="H557" s="57"/>
      <c r="I557" s="51"/>
      <c r="J557" s="51"/>
      <c r="K557" s="58"/>
      <c r="L557" s="59"/>
      <c r="M557" s="58"/>
      <c r="N557" s="58"/>
      <c r="O557" s="51"/>
      <c r="P557" s="51"/>
      <c r="Q557" s="37"/>
      <c r="R557" s="70"/>
      <c r="S557" s="70"/>
      <c r="T557" s="70"/>
      <c r="U557" s="71"/>
      <c r="V557" s="73"/>
      <c r="W557" s="75"/>
      <c r="X557" s="117"/>
      <c r="Y557" s="111"/>
      <c r="Z557" s="111"/>
      <c r="AH557" s="18"/>
      <c r="AI557" s="18"/>
    </row>
    <row r="558" spans="1:35">
      <c r="A558" s="51"/>
      <c r="B558" s="51"/>
      <c r="C558" s="51"/>
      <c r="D558" s="51"/>
      <c r="E558" s="51"/>
      <c r="F558" s="55"/>
      <c r="G558" s="56"/>
      <c r="H558" s="57"/>
      <c r="I558" s="51"/>
      <c r="J558" s="51"/>
      <c r="K558" s="58"/>
      <c r="L558" s="59"/>
      <c r="M558" s="58"/>
      <c r="N558" s="58"/>
      <c r="O558" s="51"/>
      <c r="P558" s="51"/>
      <c r="Q558" s="37"/>
      <c r="R558" s="70"/>
      <c r="S558" s="70"/>
      <c r="T558" s="70"/>
      <c r="U558" s="71"/>
      <c r="V558" s="73"/>
      <c r="W558" s="75"/>
      <c r="X558" s="117"/>
      <c r="Y558" s="111"/>
      <c r="Z558" s="111"/>
      <c r="AH558" s="18"/>
      <c r="AI558" s="18"/>
    </row>
    <row r="559" spans="1:35">
      <c r="A559" s="51"/>
      <c r="B559" s="51"/>
      <c r="C559" s="51"/>
      <c r="D559" s="51"/>
      <c r="E559" s="51"/>
      <c r="F559" s="55"/>
      <c r="G559" s="56"/>
      <c r="H559" s="57"/>
      <c r="I559" s="51"/>
      <c r="J559" s="51"/>
      <c r="K559" s="58"/>
      <c r="L559" s="59"/>
      <c r="M559" s="58"/>
      <c r="N559" s="58"/>
      <c r="O559" s="51"/>
      <c r="P559" s="51"/>
      <c r="Q559" s="37"/>
      <c r="R559" s="70"/>
      <c r="S559" s="70"/>
      <c r="T559" s="70"/>
      <c r="U559" s="71"/>
      <c r="V559" s="73"/>
      <c r="W559" s="75"/>
      <c r="X559" s="117"/>
      <c r="Y559" s="111"/>
      <c r="Z559" s="111"/>
      <c r="AH559" s="18"/>
      <c r="AI559" s="18"/>
    </row>
    <row r="560" spans="1:35">
      <c r="A560" s="51"/>
      <c r="B560" s="51"/>
      <c r="C560" s="51"/>
      <c r="D560" s="51"/>
      <c r="E560" s="51"/>
      <c r="F560" s="55"/>
      <c r="G560" s="56"/>
      <c r="H560" s="57"/>
      <c r="I560" s="51"/>
      <c r="J560" s="51"/>
      <c r="K560" s="58"/>
      <c r="L560" s="59"/>
      <c r="M560" s="58"/>
      <c r="N560" s="58"/>
      <c r="O560" s="51"/>
      <c r="P560" s="51"/>
      <c r="Q560" s="37"/>
      <c r="R560" s="70"/>
      <c r="S560" s="70"/>
      <c r="T560" s="70"/>
      <c r="U560" s="71"/>
      <c r="V560" s="73"/>
      <c r="W560" s="75"/>
      <c r="X560" s="117"/>
      <c r="Y560" s="111"/>
      <c r="Z560" s="111"/>
      <c r="AH560" s="18"/>
      <c r="AI560" s="18"/>
    </row>
    <row r="561" spans="1:35">
      <c r="A561" s="51"/>
      <c r="B561" s="51"/>
      <c r="C561" s="51"/>
      <c r="D561" s="51"/>
      <c r="E561" s="51"/>
      <c r="F561" s="55"/>
      <c r="G561" s="56"/>
      <c r="H561" s="57"/>
      <c r="I561" s="51"/>
      <c r="J561" s="51"/>
      <c r="K561" s="58"/>
      <c r="L561" s="59"/>
      <c r="M561" s="58"/>
      <c r="N561" s="58"/>
      <c r="O561" s="51"/>
      <c r="P561" s="51"/>
      <c r="Q561" s="37"/>
      <c r="R561" s="70"/>
      <c r="S561" s="70"/>
      <c r="T561" s="70"/>
      <c r="U561" s="71"/>
      <c r="V561" s="73"/>
      <c r="W561" s="75"/>
      <c r="X561" s="117"/>
      <c r="Y561" s="111"/>
      <c r="Z561" s="111"/>
      <c r="AH561" s="18"/>
      <c r="AI561" s="18"/>
    </row>
    <row r="562" spans="1:35">
      <c r="A562" s="51"/>
      <c r="B562" s="51"/>
      <c r="C562" s="51"/>
      <c r="D562" s="51"/>
      <c r="E562" s="51"/>
      <c r="F562" s="55"/>
      <c r="G562" s="56"/>
      <c r="H562" s="57"/>
      <c r="I562" s="51"/>
      <c r="J562" s="51"/>
      <c r="K562" s="58"/>
      <c r="L562" s="59"/>
      <c r="M562" s="58"/>
      <c r="N562" s="58"/>
      <c r="O562" s="51"/>
      <c r="P562" s="51"/>
      <c r="Q562" s="37"/>
      <c r="R562" s="70"/>
      <c r="S562" s="70"/>
      <c r="T562" s="70"/>
      <c r="U562" s="71"/>
      <c r="V562" s="73"/>
      <c r="W562" s="75"/>
      <c r="X562" s="117"/>
      <c r="Y562" s="111"/>
      <c r="Z562" s="111"/>
      <c r="AH562" s="18"/>
      <c r="AI562" s="18"/>
    </row>
    <row r="563" spans="1:35">
      <c r="A563" s="51"/>
      <c r="B563" s="51"/>
      <c r="C563" s="51"/>
      <c r="D563" s="51"/>
      <c r="E563" s="51"/>
      <c r="F563" s="55"/>
      <c r="G563" s="56"/>
      <c r="H563" s="57"/>
      <c r="I563" s="51"/>
      <c r="J563" s="51"/>
      <c r="K563" s="58"/>
      <c r="L563" s="59"/>
      <c r="M563" s="58"/>
      <c r="N563" s="58"/>
      <c r="O563" s="51"/>
      <c r="P563" s="51"/>
      <c r="Q563" s="37"/>
      <c r="R563" s="70"/>
      <c r="S563" s="70"/>
      <c r="T563" s="70"/>
      <c r="U563" s="71"/>
      <c r="V563" s="73"/>
      <c r="W563" s="75"/>
      <c r="X563" s="117"/>
      <c r="Y563" s="111"/>
      <c r="Z563" s="111"/>
      <c r="AH563" s="18"/>
      <c r="AI563" s="18"/>
    </row>
    <row r="564" spans="1:35">
      <c r="A564" s="51"/>
      <c r="B564" s="51"/>
      <c r="C564" s="51"/>
      <c r="D564" s="51"/>
      <c r="E564" s="51"/>
      <c r="F564" s="55"/>
      <c r="G564" s="56"/>
      <c r="H564" s="57"/>
      <c r="I564" s="51"/>
      <c r="J564" s="51"/>
      <c r="K564" s="58"/>
      <c r="L564" s="59"/>
      <c r="M564" s="58"/>
      <c r="N564" s="58"/>
      <c r="O564" s="51"/>
      <c r="P564" s="51"/>
      <c r="Q564" s="37"/>
      <c r="R564" s="70"/>
      <c r="S564" s="70"/>
      <c r="T564" s="70"/>
      <c r="U564" s="71"/>
      <c r="V564" s="73"/>
      <c r="W564" s="75"/>
      <c r="X564" s="117"/>
      <c r="Y564" s="111"/>
      <c r="Z564" s="111"/>
      <c r="AH564" s="18"/>
      <c r="AI564" s="18"/>
    </row>
    <row r="565" spans="1:35">
      <c r="A565" s="51"/>
      <c r="B565" s="51"/>
      <c r="C565" s="51"/>
      <c r="D565" s="51"/>
      <c r="E565" s="51"/>
      <c r="F565" s="55"/>
      <c r="G565" s="56"/>
      <c r="H565" s="57"/>
      <c r="I565" s="51"/>
      <c r="J565" s="51"/>
      <c r="K565" s="58"/>
      <c r="L565" s="59"/>
      <c r="M565" s="58"/>
      <c r="N565" s="58"/>
      <c r="O565" s="51"/>
      <c r="P565" s="51"/>
      <c r="Q565" s="37"/>
      <c r="R565" s="70"/>
      <c r="S565" s="70"/>
      <c r="T565" s="70"/>
      <c r="U565" s="71"/>
      <c r="V565" s="73"/>
      <c r="W565" s="75"/>
      <c r="X565" s="117"/>
      <c r="Y565" s="111"/>
      <c r="Z565" s="111"/>
      <c r="AH565" s="18"/>
      <c r="AI565" s="18"/>
    </row>
    <row r="566" spans="1:35">
      <c r="A566" s="51"/>
      <c r="B566" s="51"/>
      <c r="C566" s="51"/>
      <c r="D566" s="51"/>
      <c r="E566" s="51"/>
      <c r="F566" s="55"/>
      <c r="G566" s="56"/>
      <c r="H566" s="57"/>
      <c r="I566" s="51"/>
      <c r="J566" s="51"/>
      <c r="K566" s="58"/>
      <c r="L566" s="59"/>
      <c r="M566" s="58"/>
      <c r="N566" s="58"/>
      <c r="O566" s="51"/>
      <c r="P566" s="51"/>
      <c r="Q566" s="37"/>
      <c r="R566" s="70"/>
      <c r="S566" s="70"/>
      <c r="T566" s="70"/>
      <c r="U566" s="71"/>
      <c r="V566" s="73"/>
      <c r="W566" s="75"/>
      <c r="X566" s="117"/>
      <c r="Y566" s="111"/>
      <c r="Z566" s="111"/>
      <c r="AH566" s="18"/>
      <c r="AI566" s="18"/>
    </row>
    <row r="567" spans="1:35">
      <c r="A567" s="51"/>
      <c r="B567" s="51"/>
      <c r="C567" s="51"/>
      <c r="D567" s="51"/>
      <c r="E567" s="51"/>
      <c r="F567" s="55"/>
      <c r="G567" s="56"/>
      <c r="H567" s="57"/>
      <c r="I567" s="51"/>
      <c r="J567" s="51"/>
      <c r="K567" s="58"/>
      <c r="L567" s="59"/>
      <c r="M567" s="58"/>
      <c r="N567" s="58"/>
      <c r="O567" s="51"/>
      <c r="P567" s="51"/>
      <c r="Q567" s="37"/>
      <c r="R567" s="70"/>
      <c r="S567" s="70"/>
      <c r="T567" s="70"/>
      <c r="U567" s="71"/>
      <c r="V567" s="73"/>
      <c r="W567" s="75"/>
      <c r="X567" s="117"/>
      <c r="Y567" s="111"/>
      <c r="Z567" s="111"/>
      <c r="AH567" s="18"/>
      <c r="AI567" s="18"/>
    </row>
    <row r="568" spans="1:35">
      <c r="A568" s="51"/>
      <c r="B568" s="51"/>
      <c r="C568" s="51"/>
      <c r="D568" s="51"/>
      <c r="E568" s="51"/>
      <c r="F568" s="55"/>
      <c r="G568" s="56"/>
      <c r="H568" s="57"/>
      <c r="I568" s="51"/>
      <c r="J568" s="51"/>
      <c r="K568" s="58"/>
      <c r="L568" s="59"/>
      <c r="M568" s="58"/>
      <c r="N568" s="58"/>
      <c r="O568" s="51"/>
      <c r="P568" s="51"/>
      <c r="Q568" s="37"/>
      <c r="R568" s="70"/>
      <c r="S568" s="70"/>
      <c r="T568" s="70"/>
      <c r="U568" s="71"/>
      <c r="V568" s="73"/>
      <c r="W568" s="75"/>
      <c r="X568" s="117"/>
      <c r="Y568" s="111"/>
      <c r="Z568" s="111"/>
      <c r="AH568" s="18"/>
      <c r="AI568" s="18"/>
    </row>
    <row r="569" spans="1:35">
      <c r="A569" s="51"/>
      <c r="B569" s="51"/>
      <c r="C569" s="51"/>
      <c r="D569" s="51"/>
      <c r="E569" s="51"/>
      <c r="F569" s="55"/>
      <c r="G569" s="56"/>
      <c r="H569" s="57"/>
      <c r="I569" s="51"/>
      <c r="J569" s="51"/>
      <c r="K569" s="58"/>
      <c r="L569" s="59"/>
      <c r="M569" s="58"/>
      <c r="N569" s="58"/>
      <c r="O569" s="51"/>
      <c r="P569" s="51"/>
      <c r="Q569" s="37"/>
      <c r="R569" s="70"/>
      <c r="S569" s="70"/>
      <c r="T569" s="70"/>
      <c r="U569" s="71"/>
      <c r="V569" s="73"/>
      <c r="W569" s="75"/>
      <c r="X569" s="117"/>
      <c r="Y569" s="111"/>
      <c r="Z569" s="111"/>
      <c r="AH569" s="18"/>
      <c r="AI569" s="18"/>
    </row>
    <row r="570" spans="1:35">
      <c r="A570" s="51"/>
      <c r="B570" s="51"/>
      <c r="C570" s="51"/>
      <c r="D570" s="51"/>
      <c r="E570" s="51"/>
      <c r="F570" s="55"/>
      <c r="G570" s="56"/>
      <c r="H570" s="57"/>
      <c r="I570" s="51"/>
      <c r="J570" s="51"/>
      <c r="K570" s="58"/>
      <c r="L570" s="59"/>
      <c r="M570" s="58"/>
      <c r="N570" s="58"/>
      <c r="O570" s="51"/>
      <c r="P570" s="51"/>
      <c r="Q570" s="37"/>
      <c r="R570" s="70"/>
      <c r="S570" s="70"/>
      <c r="T570" s="70"/>
      <c r="U570" s="71"/>
      <c r="V570" s="73"/>
      <c r="W570" s="75"/>
      <c r="X570" s="117"/>
      <c r="Y570" s="111"/>
      <c r="Z570" s="111"/>
      <c r="AH570" s="18"/>
      <c r="AI570" s="18"/>
    </row>
    <row r="571" spans="1:35">
      <c r="A571" s="51"/>
      <c r="B571" s="51"/>
      <c r="C571" s="51"/>
      <c r="D571" s="51"/>
      <c r="E571" s="51"/>
      <c r="F571" s="55"/>
      <c r="G571" s="56"/>
      <c r="H571" s="57"/>
      <c r="I571" s="51"/>
      <c r="J571" s="51"/>
      <c r="K571" s="58"/>
      <c r="L571" s="59"/>
      <c r="M571" s="58"/>
      <c r="N571" s="58"/>
      <c r="O571" s="51"/>
      <c r="P571" s="51"/>
      <c r="Q571" s="37"/>
      <c r="R571" s="70"/>
      <c r="S571" s="70"/>
      <c r="T571" s="70"/>
      <c r="U571" s="71"/>
      <c r="V571" s="73"/>
      <c r="W571" s="75"/>
      <c r="X571" s="117"/>
      <c r="Y571" s="111"/>
      <c r="Z571" s="111"/>
      <c r="AH571" s="18"/>
      <c r="AI571" s="18"/>
    </row>
    <row r="572" spans="1:35">
      <c r="A572" s="51"/>
      <c r="B572" s="51"/>
      <c r="C572" s="51"/>
      <c r="D572" s="51"/>
      <c r="E572" s="51"/>
      <c r="F572" s="55"/>
      <c r="G572" s="56"/>
      <c r="H572" s="57"/>
      <c r="I572" s="51"/>
      <c r="J572" s="51"/>
      <c r="K572" s="58"/>
      <c r="L572" s="59"/>
      <c r="M572" s="58"/>
      <c r="N572" s="58"/>
      <c r="O572" s="51"/>
      <c r="P572" s="51"/>
      <c r="Q572" s="37"/>
      <c r="R572" s="70"/>
      <c r="S572" s="70"/>
      <c r="T572" s="70"/>
      <c r="U572" s="71"/>
      <c r="V572" s="73"/>
      <c r="W572" s="75"/>
      <c r="X572" s="117"/>
      <c r="Y572" s="111"/>
      <c r="Z572" s="111"/>
      <c r="AH572" s="18"/>
      <c r="AI572" s="18"/>
    </row>
    <row r="573" spans="1:35">
      <c r="A573" s="51"/>
      <c r="B573" s="51"/>
      <c r="C573" s="51"/>
      <c r="D573" s="51"/>
      <c r="E573" s="51"/>
      <c r="F573" s="55"/>
      <c r="G573" s="56"/>
      <c r="H573" s="57"/>
      <c r="I573" s="51"/>
      <c r="J573" s="51"/>
      <c r="K573" s="58"/>
      <c r="L573" s="59"/>
      <c r="M573" s="58"/>
      <c r="N573" s="58"/>
      <c r="O573" s="51"/>
      <c r="P573" s="51"/>
      <c r="Q573" s="37"/>
      <c r="R573" s="70"/>
      <c r="S573" s="70"/>
      <c r="T573" s="70"/>
      <c r="U573" s="71"/>
      <c r="V573" s="73"/>
      <c r="W573" s="75"/>
      <c r="X573" s="117"/>
      <c r="Y573" s="111"/>
      <c r="Z573" s="111"/>
      <c r="AH573" s="18"/>
      <c r="AI573" s="18"/>
    </row>
    <row r="574" spans="1:35">
      <c r="A574" s="51"/>
      <c r="B574" s="51"/>
      <c r="C574" s="51"/>
      <c r="D574" s="51"/>
      <c r="E574" s="51"/>
      <c r="F574" s="55"/>
      <c r="G574" s="56"/>
      <c r="H574" s="57"/>
      <c r="I574" s="51"/>
      <c r="J574" s="51"/>
      <c r="K574" s="58"/>
      <c r="L574" s="59"/>
      <c r="M574" s="58"/>
      <c r="N574" s="58"/>
      <c r="O574" s="51"/>
      <c r="P574" s="51"/>
      <c r="Q574" s="37"/>
      <c r="R574" s="70"/>
      <c r="S574" s="70"/>
      <c r="T574" s="70"/>
      <c r="U574" s="71"/>
      <c r="V574" s="73"/>
      <c r="W574" s="75"/>
      <c r="X574" s="117"/>
      <c r="Y574" s="111"/>
      <c r="Z574" s="111"/>
      <c r="AH574" s="18"/>
      <c r="AI574" s="18"/>
    </row>
    <row r="575" spans="1:35">
      <c r="A575" s="51"/>
      <c r="B575" s="51"/>
      <c r="C575" s="51"/>
      <c r="D575" s="51"/>
      <c r="E575" s="51"/>
      <c r="F575" s="55"/>
      <c r="G575" s="56"/>
      <c r="H575" s="57"/>
      <c r="I575" s="51"/>
      <c r="J575" s="51"/>
      <c r="K575" s="58"/>
      <c r="L575" s="59"/>
      <c r="M575" s="58"/>
      <c r="N575" s="58"/>
      <c r="O575" s="51"/>
      <c r="P575" s="51"/>
      <c r="Q575" s="37"/>
      <c r="R575" s="70"/>
      <c r="S575" s="70"/>
      <c r="T575" s="70"/>
      <c r="U575" s="71"/>
      <c r="V575" s="73"/>
      <c r="W575" s="75"/>
      <c r="X575" s="117"/>
      <c r="Y575" s="111"/>
      <c r="Z575" s="111"/>
      <c r="AH575" s="18"/>
      <c r="AI575" s="18"/>
    </row>
    <row r="576" spans="1:35">
      <c r="A576" s="51"/>
      <c r="B576" s="51"/>
      <c r="C576" s="51"/>
      <c r="D576" s="51"/>
      <c r="E576" s="51"/>
      <c r="F576" s="55"/>
      <c r="G576" s="56"/>
      <c r="H576" s="57"/>
      <c r="I576" s="51"/>
      <c r="J576" s="51"/>
      <c r="K576" s="58"/>
      <c r="L576" s="59"/>
      <c r="M576" s="58"/>
      <c r="N576" s="58"/>
      <c r="O576" s="51"/>
      <c r="P576" s="51"/>
      <c r="Q576" s="37"/>
      <c r="R576" s="70"/>
      <c r="S576" s="70"/>
      <c r="T576" s="70"/>
      <c r="U576" s="71"/>
      <c r="V576" s="73"/>
      <c r="W576" s="75"/>
      <c r="X576" s="117"/>
      <c r="Y576" s="111"/>
      <c r="Z576" s="111"/>
      <c r="AH576" s="18"/>
      <c r="AI576" s="18"/>
    </row>
    <row r="577" spans="1:35">
      <c r="A577" s="51"/>
      <c r="B577" s="51"/>
      <c r="C577" s="51"/>
      <c r="D577" s="51"/>
      <c r="E577" s="51"/>
      <c r="F577" s="55"/>
      <c r="G577" s="56"/>
      <c r="H577" s="57"/>
      <c r="I577" s="51"/>
      <c r="J577" s="51"/>
      <c r="K577" s="58"/>
      <c r="L577" s="59"/>
      <c r="M577" s="58"/>
      <c r="N577" s="58"/>
      <c r="O577" s="51"/>
      <c r="P577" s="51"/>
      <c r="Q577" s="37"/>
      <c r="R577" s="70"/>
      <c r="S577" s="70"/>
      <c r="T577" s="70"/>
      <c r="U577" s="71"/>
      <c r="V577" s="73"/>
      <c r="W577" s="75"/>
      <c r="X577" s="117"/>
      <c r="Y577" s="111"/>
      <c r="Z577" s="111"/>
      <c r="AH577" s="18"/>
      <c r="AI577" s="18"/>
    </row>
    <row r="578" spans="1:35">
      <c r="A578" s="51"/>
      <c r="B578" s="51"/>
      <c r="C578" s="51"/>
      <c r="D578" s="51"/>
      <c r="E578" s="51"/>
      <c r="F578" s="55"/>
      <c r="G578" s="56"/>
      <c r="H578" s="57"/>
      <c r="I578" s="51"/>
      <c r="J578" s="51"/>
      <c r="K578" s="58"/>
      <c r="L578" s="59"/>
      <c r="M578" s="58"/>
      <c r="N578" s="58"/>
      <c r="O578" s="51"/>
      <c r="P578" s="51"/>
      <c r="Q578" s="37"/>
      <c r="R578" s="70"/>
      <c r="S578" s="70"/>
      <c r="T578" s="70"/>
      <c r="U578" s="71"/>
      <c r="V578" s="73"/>
      <c r="W578" s="75"/>
      <c r="X578" s="117"/>
      <c r="Y578" s="111"/>
      <c r="Z578" s="111"/>
      <c r="AH578" s="18"/>
      <c r="AI578" s="18"/>
    </row>
    <row r="579" spans="1:35">
      <c r="A579" s="51"/>
      <c r="B579" s="51"/>
      <c r="C579" s="51"/>
      <c r="D579" s="51"/>
      <c r="E579" s="51"/>
      <c r="F579" s="55"/>
      <c r="G579" s="56"/>
      <c r="H579" s="57"/>
      <c r="I579" s="51"/>
      <c r="J579" s="51"/>
      <c r="K579" s="58"/>
      <c r="L579" s="59"/>
      <c r="M579" s="58"/>
      <c r="N579" s="58"/>
      <c r="O579" s="51"/>
      <c r="P579" s="51"/>
      <c r="Q579" s="37"/>
      <c r="R579" s="70"/>
      <c r="S579" s="70"/>
      <c r="T579" s="70"/>
      <c r="U579" s="71"/>
      <c r="V579" s="73"/>
      <c r="W579" s="75"/>
      <c r="X579" s="117"/>
      <c r="Y579" s="111"/>
      <c r="Z579" s="111"/>
      <c r="AH579" s="18"/>
      <c r="AI579" s="18"/>
    </row>
    <row r="580" spans="1:35">
      <c r="A580" s="51"/>
      <c r="B580" s="51"/>
      <c r="C580" s="51"/>
      <c r="D580" s="51"/>
      <c r="E580" s="51"/>
      <c r="F580" s="55"/>
      <c r="G580" s="56"/>
      <c r="H580" s="57"/>
      <c r="I580" s="51"/>
      <c r="J580" s="51"/>
      <c r="K580" s="58"/>
      <c r="L580" s="59"/>
      <c r="M580" s="58"/>
      <c r="N580" s="58"/>
      <c r="O580" s="51"/>
      <c r="P580" s="51"/>
      <c r="Q580" s="37"/>
      <c r="R580" s="70"/>
      <c r="S580" s="70"/>
      <c r="T580" s="70"/>
      <c r="U580" s="71"/>
      <c r="V580" s="73"/>
      <c r="W580" s="75"/>
      <c r="X580" s="117"/>
      <c r="Y580" s="111"/>
      <c r="Z580" s="111"/>
      <c r="AH580" s="18"/>
      <c r="AI580" s="18"/>
    </row>
    <row r="581" spans="1:35">
      <c r="A581" s="51"/>
      <c r="B581" s="51"/>
      <c r="C581" s="51"/>
      <c r="D581" s="51"/>
      <c r="E581" s="51"/>
      <c r="F581" s="55"/>
      <c r="G581" s="56"/>
      <c r="H581" s="57"/>
      <c r="I581" s="51"/>
      <c r="J581" s="51"/>
      <c r="K581" s="58"/>
      <c r="L581" s="59"/>
      <c r="M581" s="58"/>
      <c r="N581" s="58"/>
      <c r="O581" s="51"/>
      <c r="P581" s="51"/>
      <c r="Q581" s="37"/>
      <c r="R581" s="70"/>
      <c r="S581" s="70"/>
      <c r="T581" s="70"/>
      <c r="U581" s="71"/>
      <c r="V581" s="73"/>
      <c r="W581" s="75"/>
      <c r="X581" s="117"/>
      <c r="Y581" s="111"/>
      <c r="Z581" s="111"/>
      <c r="AH581" s="18"/>
      <c r="AI581" s="18"/>
    </row>
    <row r="582" spans="1:35">
      <c r="A582" s="51"/>
      <c r="B582" s="51"/>
      <c r="C582" s="51"/>
      <c r="D582" s="51"/>
      <c r="E582" s="51"/>
      <c r="F582" s="55"/>
      <c r="G582" s="56"/>
      <c r="H582" s="57"/>
      <c r="I582" s="51"/>
      <c r="J582" s="51"/>
      <c r="K582" s="58"/>
      <c r="L582" s="59"/>
      <c r="M582" s="58"/>
      <c r="N582" s="58"/>
      <c r="O582" s="51"/>
      <c r="P582" s="51"/>
      <c r="Q582" s="37"/>
      <c r="R582" s="70"/>
      <c r="S582" s="70"/>
      <c r="T582" s="70"/>
      <c r="U582" s="71"/>
      <c r="V582" s="73"/>
      <c r="W582" s="75"/>
      <c r="X582" s="117"/>
      <c r="Y582" s="111"/>
      <c r="Z582" s="111"/>
      <c r="AH582" s="18"/>
      <c r="AI582" s="18"/>
    </row>
    <row r="583" spans="1:35">
      <c r="A583" s="51"/>
      <c r="B583" s="51"/>
      <c r="C583" s="51"/>
      <c r="D583" s="51"/>
      <c r="E583" s="51"/>
      <c r="F583" s="55"/>
      <c r="G583" s="56"/>
      <c r="H583" s="57"/>
      <c r="I583" s="51"/>
      <c r="J583" s="51"/>
      <c r="K583" s="58"/>
      <c r="L583" s="59"/>
      <c r="M583" s="58"/>
      <c r="N583" s="58"/>
      <c r="O583" s="51"/>
      <c r="P583" s="51"/>
      <c r="Q583" s="37"/>
      <c r="R583" s="70"/>
      <c r="S583" s="70"/>
      <c r="T583" s="70"/>
      <c r="U583" s="71"/>
      <c r="V583" s="73"/>
      <c r="W583" s="75"/>
      <c r="X583" s="117"/>
      <c r="Y583" s="111"/>
      <c r="Z583" s="111"/>
      <c r="AH583" s="18"/>
      <c r="AI583" s="18"/>
    </row>
    <row r="584" spans="1:35">
      <c r="A584" s="51"/>
      <c r="B584" s="51"/>
      <c r="C584" s="51"/>
      <c r="D584" s="51"/>
      <c r="E584" s="51"/>
      <c r="F584" s="55"/>
      <c r="G584" s="56"/>
      <c r="H584" s="57"/>
      <c r="I584" s="51"/>
      <c r="J584" s="51"/>
      <c r="K584" s="58"/>
      <c r="L584" s="59"/>
      <c r="M584" s="58"/>
      <c r="N584" s="58"/>
      <c r="O584" s="51"/>
      <c r="P584" s="51"/>
      <c r="Q584" s="37"/>
      <c r="R584" s="70"/>
      <c r="S584" s="70"/>
      <c r="T584" s="70"/>
      <c r="U584" s="71"/>
      <c r="V584" s="73"/>
      <c r="W584" s="75"/>
      <c r="X584" s="117"/>
      <c r="Y584" s="111"/>
      <c r="Z584" s="111"/>
      <c r="AH584" s="18"/>
      <c r="AI584" s="18"/>
    </row>
    <row r="585" spans="1:35">
      <c r="A585" s="51"/>
      <c r="B585" s="51"/>
      <c r="C585" s="51"/>
      <c r="D585" s="51"/>
      <c r="E585" s="51"/>
      <c r="F585" s="55"/>
      <c r="G585" s="56"/>
      <c r="H585" s="57"/>
      <c r="I585" s="51"/>
      <c r="J585" s="51"/>
      <c r="K585" s="58"/>
      <c r="L585" s="59"/>
      <c r="M585" s="58"/>
      <c r="N585" s="58"/>
      <c r="O585" s="51"/>
      <c r="P585" s="51"/>
      <c r="Q585" s="37"/>
      <c r="R585" s="70"/>
      <c r="S585" s="70"/>
      <c r="T585" s="70"/>
      <c r="U585" s="71"/>
      <c r="V585" s="73"/>
      <c r="W585" s="75"/>
      <c r="X585" s="117"/>
      <c r="Y585" s="111"/>
      <c r="Z585" s="111"/>
      <c r="AH585" s="18"/>
      <c r="AI585" s="18"/>
    </row>
    <row r="586" spans="1:35">
      <c r="A586" s="51"/>
      <c r="B586" s="51"/>
      <c r="C586" s="51"/>
      <c r="D586" s="51"/>
      <c r="E586" s="51"/>
      <c r="F586" s="55"/>
      <c r="G586" s="56"/>
      <c r="H586" s="57"/>
      <c r="I586" s="51"/>
      <c r="J586" s="51"/>
      <c r="K586" s="58"/>
      <c r="L586" s="59"/>
      <c r="M586" s="58"/>
      <c r="N586" s="58"/>
      <c r="O586" s="51"/>
      <c r="P586" s="51"/>
      <c r="Q586" s="37"/>
      <c r="R586" s="70"/>
      <c r="S586" s="70"/>
      <c r="T586" s="70"/>
      <c r="U586" s="71"/>
      <c r="V586" s="73"/>
      <c r="W586" s="75"/>
      <c r="X586" s="117"/>
      <c r="Y586" s="111"/>
      <c r="Z586" s="111"/>
      <c r="AH586" s="18"/>
      <c r="AI586" s="18"/>
    </row>
    <row r="587" spans="1:35">
      <c r="A587" s="51"/>
      <c r="B587" s="51"/>
      <c r="C587" s="51"/>
      <c r="D587" s="51"/>
      <c r="E587" s="51"/>
      <c r="F587" s="55"/>
      <c r="G587" s="56"/>
      <c r="H587" s="57"/>
      <c r="I587" s="51"/>
      <c r="J587" s="51"/>
      <c r="K587" s="58"/>
      <c r="L587" s="59"/>
      <c r="M587" s="58"/>
      <c r="N587" s="58"/>
      <c r="O587" s="51"/>
      <c r="P587" s="51"/>
      <c r="Q587" s="37"/>
      <c r="R587" s="70"/>
      <c r="S587" s="70"/>
      <c r="T587" s="70"/>
      <c r="U587" s="71"/>
      <c r="V587" s="73"/>
      <c r="W587" s="75"/>
      <c r="X587" s="117"/>
      <c r="Y587" s="111"/>
      <c r="Z587" s="111"/>
      <c r="AH587" s="18"/>
      <c r="AI587" s="18"/>
    </row>
    <row r="588" spans="1:35">
      <c r="A588" s="51"/>
      <c r="B588" s="51"/>
      <c r="C588" s="51"/>
      <c r="D588" s="51"/>
      <c r="E588" s="51"/>
      <c r="F588" s="55"/>
      <c r="G588" s="56"/>
      <c r="H588" s="57"/>
      <c r="I588" s="51"/>
      <c r="J588" s="51"/>
      <c r="K588" s="58"/>
      <c r="L588" s="59"/>
      <c r="M588" s="58"/>
      <c r="N588" s="58"/>
      <c r="O588" s="51"/>
      <c r="P588" s="51"/>
      <c r="Q588" s="37"/>
      <c r="R588" s="70"/>
      <c r="S588" s="70"/>
      <c r="T588" s="70"/>
      <c r="U588" s="71"/>
      <c r="V588" s="73"/>
      <c r="W588" s="75"/>
      <c r="X588" s="117"/>
      <c r="Y588" s="111"/>
      <c r="Z588" s="111"/>
      <c r="AH588" s="18"/>
      <c r="AI588" s="18"/>
    </row>
    <row r="589" spans="1:35">
      <c r="A589" s="51"/>
      <c r="B589" s="51"/>
      <c r="C589" s="51"/>
      <c r="D589" s="51"/>
      <c r="E589" s="51"/>
      <c r="F589" s="55"/>
      <c r="G589" s="56"/>
      <c r="H589" s="57"/>
      <c r="I589" s="51"/>
      <c r="J589" s="51"/>
      <c r="K589" s="58"/>
      <c r="L589" s="59"/>
      <c r="M589" s="58"/>
      <c r="N589" s="58"/>
      <c r="O589" s="51"/>
      <c r="P589" s="51"/>
      <c r="Q589" s="37"/>
      <c r="R589" s="70"/>
      <c r="S589" s="70"/>
      <c r="T589" s="70"/>
      <c r="U589" s="71"/>
      <c r="V589" s="73"/>
      <c r="W589" s="75"/>
      <c r="X589" s="117"/>
      <c r="Y589" s="111"/>
      <c r="Z589" s="111"/>
      <c r="AH589" s="18"/>
      <c r="AI589" s="18"/>
    </row>
    <row r="590" spans="1:35">
      <c r="A590" s="51"/>
      <c r="B590" s="51"/>
      <c r="C590" s="51"/>
      <c r="D590" s="51"/>
      <c r="E590" s="51"/>
      <c r="F590" s="55"/>
      <c r="G590" s="56"/>
      <c r="H590" s="57"/>
      <c r="I590" s="51"/>
      <c r="J590" s="51"/>
      <c r="K590" s="58"/>
      <c r="L590" s="59"/>
      <c r="M590" s="58"/>
      <c r="N590" s="58"/>
      <c r="O590" s="51"/>
      <c r="P590" s="51"/>
      <c r="Q590" s="37"/>
      <c r="R590" s="70"/>
      <c r="S590" s="70"/>
      <c r="T590" s="70"/>
      <c r="U590" s="71"/>
      <c r="V590" s="73"/>
      <c r="W590" s="75"/>
      <c r="X590" s="117"/>
      <c r="Y590" s="111"/>
      <c r="Z590" s="111"/>
      <c r="AH590" s="18"/>
      <c r="AI590" s="18"/>
    </row>
    <row r="591" spans="1:35">
      <c r="A591" s="51"/>
      <c r="B591" s="51"/>
      <c r="C591" s="51"/>
      <c r="D591" s="51"/>
      <c r="E591" s="51"/>
      <c r="F591" s="55"/>
      <c r="G591" s="56"/>
      <c r="H591" s="57"/>
      <c r="I591" s="51"/>
      <c r="J591" s="51"/>
      <c r="K591" s="58"/>
      <c r="L591" s="59"/>
      <c r="M591" s="58"/>
      <c r="N591" s="58"/>
      <c r="O591" s="51"/>
      <c r="P591" s="51"/>
      <c r="Q591" s="37"/>
      <c r="R591" s="70"/>
      <c r="S591" s="70"/>
      <c r="T591" s="70"/>
      <c r="U591" s="71"/>
      <c r="V591" s="73"/>
      <c r="W591" s="75"/>
      <c r="X591" s="117"/>
      <c r="Y591" s="111"/>
      <c r="Z591" s="111"/>
      <c r="AH591" s="18"/>
      <c r="AI591" s="18"/>
    </row>
    <row r="592" spans="1:35">
      <c r="A592" s="51"/>
      <c r="B592" s="51"/>
      <c r="C592" s="51"/>
      <c r="D592" s="51"/>
      <c r="E592" s="51"/>
      <c r="F592" s="55"/>
      <c r="G592" s="56"/>
      <c r="H592" s="57"/>
      <c r="I592" s="51"/>
      <c r="J592" s="51"/>
      <c r="K592" s="58"/>
      <c r="L592" s="59"/>
      <c r="M592" s="58"/>
      <c r="N592" s="58"/>
      <c r="O592" s="51"/>
      <c r="P592" s="51"/>
      <c r="Q592" s="37"/>
      <c r="R592" s="70"/>
      <c r="S592" s="70"/>
      <c r="T592" s="70"/>
      <c r="U592" s="71"/>
      <c r="V592" s="73"/>
      <c r="W592" s="75"/>
      <c r="X592" s="117"/>
      <c r="Y592" s="111"/>
      <c r="Z592" s="111"/>
      <c r="AH592" s="18"/>
      <c r="AI592" s="18"/>
    </row>
    <row r="593" spans="1:35">
      <c r="A593" s="51"/>
      <c r="B593" s="51"/>
      <c r="C593" s="51"/>
      <c r="D593" s="51"/>
      <c r="E593" s="51"/>
      <c r="F593" s="55"/>
      <c r="G593" s="56"/>
      <c r="H593" s="57"/>
      <c r="I593" s="51"/>
      <c r="J593" s="51"/>
      <c r="K593" s="58"/>
      <c r="L593" s="59"/>
      <c r="M593" s="58"/>
      <c r="N593" s="58"/>
      <c r="O593" s="51"/>
      <c r="P593" s="51"/>
      <c r="Q593" s="37"/>
      <c r="R593" s="70"/>
      <c r="S593" s="70"/>
      <c r="T593" s="70"/>
      <c r="U593" s="71"/>
      <c r="V593" s="73"/>
      <c r="W593" s="75"/>
      <c r="X593" s="117"/>
      <c r="Y593" s="111"/>
      <c r="Z593" s="111"/>
      <c r="AH593" s="18"/>
      <c r="AI593" s="18"/>
    </row>
    <row r="594" spans="1:35">
      <c r="A594" s="51"/>
      <c r="B594" s="51"/>
      <c r="C594" s="51"/>
      <c r="D594" s="51"/>
      <c r="E594" s="51"/>
      <c r="F594" s="55"/>
      <c r="G594" s="56"/>
      <c r="H594" s="57"/>
      <c r="I594" s="51"/>
      <c r="J594" s="51"/>
      <c r="K594" s="58"/>
      <c r="L594" s="59"/>
      <c r="M594" s="58"/>
      <c r="N594" s="58"/>
      <c r="O594" s="51"/>
      <c r="P594" s="51"/>
      <c r="Q594" s="37"/>
      <c r="R594" s="70"/>
      <c r="S594" s="70"/>
      <c r="T594" s="70"/>
      <c r="U594" s="71"/>
      <c r="V594" s="73"/>
      <c r="W594" s="75"/>
      <c r="X594" s="117"/>
      <c r="Y594" s="111"/>
      <c r="Z594" s="111"/>
      <c r="AH594" s="18"/>
      <c r="AI594" s="18"/>
    </row>
    <row r="595" spans="1:35">
      <c r="A595" s="51"/>
      <c r="B595" s="51"/>
      <c r="C595" s="51"/>
      <c r="D595" s="51"/>
      <c r="E595" s="51"/>
      <c r="F595" s="55"/>
      <c r="G595" s="56"/>
      <c r="H595" s="57"/>
      <c r="I595" s="51"/>
      <c r="J595" s="51"/>
      <c r="K595" s="58"/>
      <c r="L595" s="59"/>
      <c r="M595" s="58"/>
      <c r="N595" s="58"/>
      <c r="O595" s="51"/>
      <c r="P595" s="51"/>
      <c r="Q595" s="37"/>
      <c r="R595" s="70"/>
      <c r="S595" s="70"/>
      <c r="T595" s="70"/>
      <c r="U595" s="71"/>
      <c r="V595" s="73"/>
      <c r="W595" s="75"/>
      <c r="X595" s="117"/>
      <c r="Y595" s="111"/>
      <c r="Z595" s="111"/>
      <c r="AH595" s="18"/>
      <c r="AI595" s="18"/>
    </row>
    <row r="596" spans="1:35">
      <c r="A596" s="51"/>
      <c r="B596" s="51"/>
      <c r="C596" s="51"/>
      <c r="D596" s="51"/>
      <c r="E596" s="51"/>
      <c r="F596" s="55"/>
      <c r="G596" s="56"/>
      <c r="H596" s="57"/>
      <c r="I596" s="51"/>
      <c r="J596" s="51"/>
      <c r="K596" s="58"/>
      <c r="L596" s="59"/>
      <c r="M596" s="58"/>
      <c r="N596" s="58"/>
      <c r="O596" s="51"/>
      <c r="P596" s="51"/>
      <c r="Q596" s="37"/>
      <c r="R596" s="70"/>
      <c r="S596" s="70"/>
      <c r="T596" s="70"/>
      <c r="U596" s="71"/>
      <c r="V596" s="73"/>
      <c r="W596" s="75"/>
      <c r="X596" s="117"/>
      <c r="Y596" s="111"/>
      <c r="Z596" s="111"/>
      <c r="AH596" s="18"/>
      <c r="AI596" s="18"/>
    </row>
    <row r="597" spans="1:35">
      <c r="A597" s="51"/>
      <c r="B597" s="51"/>
      <c r="C597" s="51"/>
      <c r="D597" s="51"/>
      <c r="E597" s="51"/>
      <c r="F597" s="55"/>
      <c r="G597" s="56"/>
      <c r="H597" s="57"/>
      <c r="I597" s="51"/>
      <c r="J597" s="51"/>
      <c r="K597" s="58"/>
      <c r="L597" s="59"/>
      <c r="M597" s="58"/>
      <c r="N597" s="58"/>
      <c r="O597" s="51"/>
      <c r="P597" s="51"/>
      <c r="Q597" s="37"/>
      <c r="R597" s="70"/>
      <c r="S597" s="70"/>
      <c r="T597" s="70"/>
      <c r="U597" s="71"/>
      <c r="V597" s="73"/>
      <c r="W597" s="75"/>
      <c r="X597" s="117"/>
      <c r="Y597" s="111"/>
      <c r="Z597" s="111"/>
      <c r="AH597" s="18"/>
      <c r="AI597" s="18"/>
    </row>
    <row r="598" spans="1:35">
      <c r="A598" s="51"/>
      <c r="B598" s="51"/>
      <c r="C598" s="51"/>
      <c r="D598" s="51"/>
      <c r="E598" s="51"/>
      <c r="F598" s="55"/>
      <c r="G598" s="56"/>
      <c r="H598" s="57"/>
      <c r="I598" s="51"/>
      <c r="J598" s="51"/>
      <c r="K598" s="58"/>
      <c r="L598" s="59"/>
      <c r="M598" s="58"/>
      <c r="N598" s="58"/>
      <c r="O598" s="51"/>
      <c r="P598" s="51"/>
      <c r="Q598" s="37"/>
      <c r="R598" s="70"/>
      <c r="S598" s="70"/>
      <c r="T598" s="70"/>
      <c r="U598" s="71"/>
      <c r="V598" s="73"/>
      <c r="W598" s="75"/>
      <c r="X598" s="117"/>
      <c r="Y598" s="111"/>
      <c r="Z598" s="111"/>
      <c r="AH598" s="18"/>
      <c r="AI598" s="18"/>
    </row>
    <row r="599" spans="1:35">
      <c r="A599" s="51"/>
      <c r="B599" s="51"/>
      <c r="C599" s="51"/>
      <c r="D599" s="51"/>
      <c r="E599" s="51"/>
      <c r="F599" s="55"/>
      <c r="G599" s="56"/>
      <c r="H599" s="57"/>
      <c r="I599" s="51"/>
      <c r="J599" s="51"/>
      <c r="K599" s="58"/>
      <c r="L599" s="59"/>
      <c r="M599" s="58"/>
      <c r="N599" s="58"/>
      <c r="O599" s="51"/>
      <c r="P599" s="51"/>
      <c r="Q599" s="37"/>
      <c r="R599" s="70"/>
      <c r="S599" s="70"/>
      <c r="T599" s="70"/>
      <c r="U599" s="71"/>
      <c r="V599" s="73"/>
      <c r="W599" s="75"/>
      <c r="X599" s="117"/>
      <c r="Y599" s="111"/>
      <c r="Z599" s="111"/>
      <c r="AH599" s="18"/>
      <c r="AI599" s="18"/>
    </row>
    <row r="600" spans="1:35">
      <c r="A600" s="51"/>
      <c r="B600" s="51"/>
      <c r="C600" s="51"/>
      <c r="D600" s="51"/>
      <c r="E600" s="51"/>
      <c r="F600" s="55"/>
      <c r="G600" s="56"/>
      <c r="H600" s="57"/>
      <c r="I600" s="51"/>
      <c r="J600" s="51"/>
      <c r="K600" s="58"/>
      <c r="L600" s="59"/>
      <c r="M600" s="58"/>
      <c r="N600" s="58"/>
      <c r="O600" s="51"/>
      <c r="P600" s="51"/>
      <c r="Q600" s="37"/>
      <c r="R600" s="70"/>
      <c r="S600" s="70"/>
      <c r="T600" s="70"/>
      <c r="U600" s="71"/>
      <c r="V600" s="73"/>
      <c r="W600" s="75"/>
      <c r="X600" s="117"/>
      <c r="Y600" s="111"/>
      <c r="Z600" s="111"/>
      <c r="AH600" s="18"/>
      <c r="AI600" s="18"/>
    </row>
    <row r="601" spans="1:35">
      <c r="A601" s="51"/>
      <c r="B601" s="51"/>
      <c r="C601" s="51"/>
      <c r="D601" s="51"/>
      <c r="E601" s="51"/>
      <c r="F601" s="55"/>
      <c r="G601" s="56"/>
      <c r="H601" s="57"/>
      <c r="I601" s="51"/>
      <c r="J601" s="51"/>
      <c r="K601" s="58"/>
      <c r="L601" s="59"/>
      <c r="M601" s="58"/>
      <c r="N601" s="58"/>
      <c r="O601" s="51"/>
      <c r="P601" s="51"/>
      <c r="Q601" s="37"/>
      <c r="R601" s="70"/>
      <c r="S601" s="70"/>
      <c r="T601" s="70"/>
      <c r="U601" s="71"/>
      <c r="V601" s="73"/>
      <c r="W601" s="75"/>
      <c r="X601" s="117"/>
      <c r="Y601" s="111"/>
      <c r="Z601" s="111"/>
      <c r="AH601" s="18"/>
      <c r="AI601" s="18"/>
    </row>
    <row r="602" spans="1:35">
      <c r="A602" s="51"/>
      <c r="B602" s="51"/>
      <c r="C602" s="51"/>
      <c r="D602" s="51"/>
      <c r="E602" s="51"/>
      <c r="F602" s="55"/>
      <c r="G602" s="56"/>
      <c r="H602" s="57"/>
      <c r="I602" s="51"/>
      <c r="J602" s="51"/>
      <c r="K602" s="58"/>
      <c r="L602" s="59"/>
      <c r="M602" s="58"/>
      <c r="N602" s="58"/>
      <c r="O602" s="51"/>
      <c r="P602" s="51"/>
      <c r="Q602" s="37"/>
      <c r="R602" s="70"/>
      <c r="S602" s="70"/>
      <c r="T602" s="70"/>
      <c r="U602" s="71"/>
      <c r="V602" s="73"/>
      <c r="W602" s="75"/>
      <c r="X602" s="117"/>
      <c r="Y602" s="111"/>
      <c r="Z602" s="111"/>
      <c r="AH602" s="18"/>
      <c r="AI602" s="18"/>
    </row>
    <row r="603" spans="1:35">
      <c r="A603" s="51"/>
      <c r="B603" s="51"/>
      <c r="C603" s="51"/>
      <c r="D603" s="51"/>
      <c r="E603" s="51"/>
      <c r="F603" s="55"/>
      <c r="G603" s="56"/>
      <c r="H603" s="57"/>
      <c r="I603" s="51"/>
      <c r="J603" s="51"/>
      <c r="K603" s="58"/>
      <c r="L603" s="59"/>
      <c r="M603" s="58"/>
      <c r="N603" s="58"/>
      <c r="O603" s="51"/>
      <c r="P603" s="51"/>
      <c r="Q603" s="37"/>
      <c r="R603" s="70"/>
      <c r="S603" s="70"/>
      <c r="T603" s="70"/>
      <c r="U603" s="71"/>
      <c r="V603" s="73"/>
      <c r="W603" s="75"/>
      <c r="X603" s="117"/>
      <c r="Y603" s="111"/>
      <c r="Z603" s="111"/>
      <c r="AH603" s="18"/>
      <c r="AI603" s="18"/>
    </row>
    <row r="604" spans="1:35">
      <c r="A604" s="51"/>
      <c r="B604" s="51"/>
      <c r="C604" s="51"/>
      <c r="D604" s="51"/>
      <c r="E604" s="51"/>
      <c r="F604" s="55"/>
      <c r="G604" s="56"/>
      <c r="H604" s="57"/>
      <c r="I604" s="51"/>
      <c r="J604" s="51"/>
      <c r="K604" s="58"/>
      <c r="L604" s="59"/>
      <c r="M604" s="58"/>
      <c r="N604" s="58"/>
      <c r="O604" s="51"/>
      <c r="P604" s="51"/>
      <c r="Q604" s="37"/>
      <c r="R604" s="70"/>
      <c r="S604" s="70"/>
      <c r="T604" s="70"/>
      <c r="U604" s="71"/>
      <c r="V604" s="73"/>
      <c r="W604" s="75"/>
      <c r="X604" s="117"/>
      <c r="Y604" s="111"/>
      <c r="Z604" s="111"/>
      <c r="AH604" s="18"/>
      <c r="AI604" s="18"/>
    </row>
    <row r="605" spans="1:35">
      <c r="A605" s="51"/>
      <c r="B605" s="51"/>
      <c r="C605" s="51"/>
      <c r="D605" s="51"/>
      <c r="E605" s="51"/>
      <c r="F605" s="55"/>
      <c r="G605" s="56"/>
      <c r="H605" s="57"/>
      <c r="I605" s="51"/>
      <c r="J605" s="51"/>
      <c r="K605" s="58"/>
      <c r="L605" s="59"/>
      <c r="M605" s="58"/>
      <c r="N605" s="58"/>
      <c r="O605" s="51"/>
      <c r="P605" s="51"/>
      <c r="Q605" s="37"/>
      <c r="R605" s="70"/>
      <c r="S605" s="70"/>
      <c r="T605" s="70"/>
      <c r="U605" s="71"/>
      <c r="V605" s="73"/>
      <c r="W605" s="75"/>
      <c r="X605" s="117"/>
      <c r="Y605" s="111"/>
      <c r="Z605" s="111"/>
      <c r="AH605" s="18"/>
      <c r="AI605" s="18"/>
    </row>
    <row r="606" spans="1:35">
      <c r="A606" s="51"/>
      <c r="B606" s="51"/>
      <c r="C606" s="51"/>
      <c r="D606" s="51"/>
      <c r="E606" s="51"/>
      <c r="F606" s="55"/>
      <c r="G606" s="56"/>
      <c r="H606" s="57"/>
      <c r="I606" s="51"/>
      <c r="J606" s="51"/>
      <c r="K606" s="58"/>
      <c r="L606" s="59"/>
      <c r="M606" s="58"/>
      <c r="N606" s="58"/>
      <c r="O606" s="51"/>
      <c r="P606" s="51"/>
      <c r="Q606" s="37"/>
      <c r="R606" s="70"/>
      <c r="S606" s="70"/>
      <c r="T606" s="70"/>
      <c r="U606" s="71"/>
      <c r="V606" s="73"/>
      <c r="W606" s="75"/>
      <c r="X606" s="117"/>
      <c r="Y606" s="111"/>
      <c r="Z606" s="111"/>
      <c r="AH606" s="18"/>
      <c r="AI606" s="18"/>
    </row>
    <row r="607" spans="1:35">
      <c r="A607" s="51"/>
      <c r="B607" s="51"/>
      <c r="C607" s="51"/>
      <c r="D607" s="51"/>
      <c r="E607" s="51"/>
      <c r="F607" s="55"/>
      <c r="G607" s="56"/>
      <c r="H607" s="57"/>
      <c r="I607" s="51"/>
      <c r="J607" s="51"/>
      <c r="K607" s="58"/>
      <c r="L607" s="59"/>
      <c r="M607" s="58"/>
      <c r="N607" s="58"/>
      <c r="O607" s="51"/>
      <c r="P607" s="51"/>
      <c r="Q607" s="37"/>
      <c r="R607" s="70"/>
      <c r="S607" s="70"/>
      <c r="T607" s="70"/>
      <c r="U607" s="71"/>
      <c r="V607" s="73"/>
      <c r="W607" s="75"/>
      <c r="X607" s="117"/>
      <c r="Y607" s="111"/>
      <c r="Z607" s="111"/>
      <c r="AH607" s="18"/>
      <c r="AI607" s="18"/>
    </row>
    <row r="608" spans="1:35">
      <c r="A608" s="51"/>
      <c r="B608" s="51"/>
      <c r="C608" s="51"/>
      <c r="D608" s="51"/>
      <c r="E608" s="51"/>
      <c r="F608" s="55"/>
      <c r="G608" s="56"/>
      <c r="H608" s="57"/>
      <c r="I608" s="51"/>
      <c r="J608" s="51"/>
      <c r="K608" s="58"/>
      <c r="L608" s="59"/>
      <c r="M608" s="58"/>
      <c r="N608" s="58"/>
      <c r="O608" s="51"/>
      <c r="P608" s="51"/>
      <c r="Q608" s="37"/>
      <c r="R608" s="70"/>
      <c r="S608" s="70"/>
      <c r="T608" s="70"/>
      <c r="U608" s="71"/>
      <c r="V608" s="73"/>
      <c r="W608" s="75"/>
      <c r="X608" s="117"/>
      <c r="Y608" s="111"/>
      <c r="Z608" s="111"/>
      <c r="AH608" s="18"/>
      <c r="AI608" s="18"/>
    </row>
    <row r="609" spans="1:35">
      <c r="A609" s="51"/>
      <c r="B609" s="51"/>
      <c r="C609" s="51"/>
      <c r="D609" s="51"/>
      <c r="E609" s="51"/>
      <c r="F609" s="55"/>
      <c r="G609" s="56"/>
      <c r="H609" s="57"/>
      <c r="I609" s="51"/>
      <c r="J609" s="51"/>
      <c r="K609" s="58"/>
      <c r="L609" s="59"/>
      <c r="M609" s="58"/>
      <c r="N609" s="58"/>
      <c r="O609" s="51"/>
      <c r="P609" s="51"/>
      <c r="Q609" s="37"/>
      <c r="R609" s="70"/>
      <c r="S609" s="70"/>
      <c r="T609" s="70"/>
      <c r="U609" s="71"/>
      <c r="V609" s="73"/>
      <c r="W609" s="75"/>
      <c r="X609" s="117"/>
      <c r="Y609" s="111"/>
      <c r="Z609" s="111"/>
      <c r="AH609" s="18"/>
      <c r="AI609" s="18"/>
    </row>
    <row r="610" spans="1:35">
      <c r="A610" s="51"/>
      <c r="B610" s="51"/>
      <c r="C610" s="51"/>
      <c r="D610" s="51"/>
      <c r="E610" s="51"/>
      <c r="F610" s="55"/>
      <c r="G610" s="56"/>
      <c r="H610" s="57"/>
      <c r="I610" s="51"/>
      <c r="J610" s="51"/>
      <c r="K610" s="58"/>
      <c r="L610" s="59"/>
      <c r="M610" s="58"/>
      <c r="N610" s="58"/>
      <c r="O610" s="51"/>
      <c r="P610" s="51"/>
      <c r="Q610" s="37"/>
      <c r="R610" s="70"/>
      <c r="S610" s="70"/>
      <c r="T610" s="70"/>
      <c r="U610" s="71"/>
      <c r="V610" s="73"/>
      <c r="W610" s="75"/>
      <c r="X610" s="117"/>
      <c r="Y610" s="111"/>
      <c r="Z610" s="111"/>
      <c r="AH610" s="18"/>
      <c r="AI610" s="18"/>
    </row>
    <row r="611" spans="1:35">
      <c r="A611" s="51"/>
      <c r="B611" s="51"/>
      <c r="C611" s="51"/>
      <c r="D611" s="51"/>
      <c r="E611" s="51"/>
      <c r="F611" s="55"/>
      <c r="G611" s="56"/>
      <c r="H611" s="57"/>
      <c r="I611" s="51"/>
      <c r="J611" s="51"/>
      <c r="K611" s="58"/>
      <c r="L611" s="59"/>
      <c r="M611" s="58"/>
      <c r="N611" s="58"/>
      <c r="O611" s="51"/>
      <c r="P611" s="51"/>
      <c r="Q611" s="37"/>
      <c r="R611" s="70"/>
      <c r="S611" s="70"/>
      <c r="T611" s="70"/>
      <c r="U611" s="71"/>
      <c r="V611" s="73"/>
      <c r="W611" s="75"/>
      <c r="X611" s="117"/>
      <c r="Y611" s="111"/>
      <c r="Z611" s="111"/>
      <c r="AH611" s="18"/>
      <c r="AI611" s="18"/>
    </row>
    <row r="612" spans="1:35">
      <c r="A612" s="51"/>
      <c r="B612" s="51"/>
      <c r="C612" s="51"/>
      <c r="D612" s="51"/>
      <c r="E612" s="51"/>
      <c r="F612" s="55"/>
      <c r="G612" s="56"/>
      <c r="H612" s="57"/>
      <c r="I612" s="51"/>
      <c r="J612" s="51"/>
      <c r="K612" s="58"/>
      <c r="L612" s="59"/>
      <c r="M612" s="58"/>
      <c r="N612" s="58"/>
      <c r="O612" s="51"/>
      <c r="P612" s="51"/>
      <c r="Q612" s="37"/>
      <c r="R612" s="70"/>
      <c r="S612" s="70"/>
      <c r="T612" s="70"/>
      <c r="U612" s="71"/>
      <c r="V612" s="73"/>
      <c r="W612" s="75"/>
      <c r="X612" s="117"/>
      <c r="Y612" s="111"/>
      <c r="Z612" s="111"/>
      <c r="AH612" s="18"/>
      <c r="AI612" s="18"/>
    </row>
    <row r="613" spans="1:35">
      <c r="A613" s="51"/>
      <c r="B613" s="51"/>
      <c r="C613" s="51"/>
      <c r="D613" s="51"/>
      <c r="E613" s="51"/>
      <c r="F613" s="55"/>
      <c r="G613" s="56"/>
      <c r="H613" s="57"/>
      <c r="I613" s="51"/>
      <c r="J613" s="51"/>
      <c r="K613" s="58"/>
      <c r="L613" s="59"/>
      <c r="M613" s="58"/>
      <c r="N613" s="58"/>
      <c r="O613" s="51"/>
      <c r="P613" s="51"/>
      <c r="Q613" s="37"/>
      <c r="R613" s="70"/>
      <c r="S613" s="70"/>
      <c r="T613" s="70"/>
      <c r="U613" s="71"/>
      <c r="V613" s="73"/>
      <c r="W613" s="75"/>
      <c r="X613" s="117"/>
      <c r="Y613" s="111"/>
      <c r="Z613" s="111"/>
      <c r="AH613" s="18"/>
      <c r="AI613" s="18"/>
    </row>
    <row r="614" spans="1:35">
      <c r="A614" s="51"/>
      <c r="B614" s="51"/>
      <c r="C614" s="51"/>
      <c r="D614" s="51"/>
      <c r="E614" s="51"/>
      <c r="F614" s="55"/>
      <c r="G614" s="56"/>
      <c r="H614" s="57"/>
      <c r="I614" s="51"/>
      <c r="J614" s="51"/>
      <c r="K614" s="58"/>
      <c r="L614" s="59"/>
      <c r="M614" s="58"/>
      <c r="N614" s="58"/>
      <c r="O614" s="51"/>
      <c r="P614" s="51"/>
      <c r="Q614" s="37"/>
      <c r="R614" s="70"/>
      <c r="S614" s="70"/>
      <c r="T614" s="70"/>
      <c r="U614" s="71"/>
      <c r="V614" s="73"/>
      <c r="W614" s="75"/>
      <c r="X614" s="117"/>
      <c r="Y614" s="111"/>
      <c r="Z614" s="111"/>
      <c r="AH614" s="18"/>
      <c r="AI614" s="18"/>
    </row>
    <row r="615" spans="1:35">
      <c r="A615" s="51"/>
      <c r="B615" s="51"/>
      <c r="C615" s="51"/>
      <c r="D615" s="51"/>
      <c r="E615" s="51"/>
      <c r="F615" s="55"/>
      <c r="G615" s="56"/>
      <c r="H615" s="57"/>
      <c r="I615" s="51"/>
      <c r="J615" s="51"/>
      <c r="K615" s="58"/>
      <c r="L615" s="59"/>
      <c r="M615" s="58"/>
      <c r="N615" s="58"/>
      <c r="O615" s="51"/>
      <c r="P615" s="51"/>
      <c r="Q615" s="37"/>
      <c r="R615" s="70"/>
      <c r="S615" s="70"/>
      <c r="T615" s="70"/>
      <c r="U615" s="71"/>
      <c r="V615" s="73"/>
      <c r="W615" s="75"/>
      <c r="X615" s="117"/>
      <c r="Y615" s="111"/>
      <c r="Z615" s="111"/>
      <c r="AH615" s="18"/>
      <c r="AI615" s="18"/>
    </row>
    <row r="616" spans="1:35">
      <c r="A616" s="51"/>
      <c r="B616" s="51"/>
      <c r="C616" s="51"/>
      <c r="D616" s="51"/>
      <c r="E616" s="51"/>
      <c r="F616" s="55"/>
      <c r="G616" s="56"/>
      <c r="H616" s="57"/>
      <c r="I616" s="51"/>
      <c r="J616" s="51"/>
      <c r="K616" s="58"/>
      <c r="L616" s="59"/>
      <c r="M616" s="58"/>
      <c r="N616" s="58"/>
      <c r="O616" s="51"/>
      <c r="P616" s="51"/>
      <c r="Q616" s="37"/>
      <c r="R616" s="70"/>
      <c r="S616" s="70"/>
      <c r="T616" s="70"/>
      <c r="U616" s="71"/>
      <c r="V616" s="73"/>
      <c r="W616" s="75"/>
      <c r="X616" s="117"/>
      <c r="Y616" s="111"/>
      <c r="Z616" s="111"/>
      <c r="AH616" s="18"/>
      <c r="AI616" s="18"/>
    </row>
    <row r="617" spans="1:35">
      <c r="A617" s="51"/>
      <c r="B617" s="51"/>
      <c r="C617" s="51"/>
      <c r="D617" s="51"/>
      <c r="E617" s="51"/>
      <c r="F617" s="55"/>
      <c r="G617" s="56"/>
      <c r="H617" s="57"/>
      <c r="I617" s="51"/>
      <c r="J617" s="51"/>
      <c r="K617" s="58"/>
      <c r="L617" s="59"/>
      <c r="M617" s="58"/>
      <c r="N617" s="58"/>
      <c r="O617" s="51"/>
      <c r="P617" s="51"/>
      <c r="Q617" s="37"/>
      <c r="R617" s="70"/>
      <c r="S617" s="70"/>
      <c r="T617" s="70"/>
      <c r="U617" s="71"/>
      <c r="V617" s="73"/>
      <c r="W617" s="75"/>
      <c r="X617" s="117"/>
      <c r="Y617" s="111"/>
      <c r="Z617" s="111"/>
      <c r="AH617" s="18"/>
      <c r="AI617" s="18"/>
    </row>
    <row r="618" spans="1:35">
      <c r="A618" s="51"/>
      <c r="B618" s="51"/>
      <c r="C618" s="51"/>
      <c r="D618" s="51"/>
      <c r="E618" s="51"/>
      <c r="F618" s="55"/>
      <c r="G618" s="56"/>
      <c r="H618" s="57"/>
      <c r="I618" s="51"/>
      <c r="J618" s="51"/>
      <c r="K618" s="58"/>
      <c r="L618" s="59"/>
      <c r="M618" s="58"/>
      <c r="N618" s="58"/>
      <c r="O618" s="51"/>
      <c r="P618" s="51"/>
      <c r="Q618" s="37"/>
      <c r="R618" s="70"/>
      <c r="S618" s="70"/>
      <c r="T618" s="70"/>
      <c r="U618" s="71"/>
      <c r="V618" s="73"/>
      <c r="W618" s="75"/>
      <c r="X618" s="117"/>
      <c r="Y618" s="111"/>
      <c r="Z618" s="111"/>
      <c r="AH618" s="18"/>
      <c r="AI618" s="18"/>
    </row>
    <row r="619" spans="1:35">
      <c r="A619" s="51"/>
      <c r="B619" s="51"/>
      <c r="C619" s="51"/>
      <c r="D619" s="51"/>
      <c r="E619" s="51"/>
      <c r="F619" s="55"/>
      <c r="G619" s="56"/>
      <c r="H619" s="57"/>
      <c r="I619" s="51"/>
      <c r="J619" s="51"/>
      <c r="K619" s="58"/>
      <c r="L619" s="59"/>
      <c r="M619" s="58"/>
      <c r="N619" s="58"/>
      <c r="O619" s="51"/>
      <c r="P619" s="51"/>
      <c r="Q619" s="37"/>
      <c r="R619" s="70"/>
      <c r="S619" s="70"/>
      <c r="T619" s="70"/>
      <c r="U619" s="71"/>
      <c r="V619" s="73"/>
      <c r="W619" s="75"/>
      <c r="X619" s="117"/>
      <c r="Y619" s="111"/>
      <c r="Z619" s="111"/>
      <c r="AH619" s="18"/>
      <c r="AI619" s="18"/>
    </row>
    <row r="620" spans="1:35">
      <c r="A620" s="51"/>
      <c r="B620" s="51"/>
      <c r="C620" s="51"/>
      <c r="D620" s="51"/>
      <c r="E620" s="51"/>
      <c r="F620" s="55"/>
      <c r="G620" s="56"/>
      <c r="H620" s="57"/>
      <c r="I620" s="51"/>
      <c r="J620" s="51"/>
      <c r="K620" s="58"/>
      <c r="L620" s="59"/>
      <c r="M620" s="58"/>
      <c r="N620" s="58"/>
      <c r="O620" s="51"/>
      <c r="P620" s="51"/>
      <c r="Q620" s="37"/>
      <c r="R620" s="70"/>
      <c r="S620" s="70"/>
      <c r="T620" s="70"/>
      <c r="U620" s="71"/>
      <c r="V620" s="73"/>
      <c r="W620" s="75"/>
      <c r="X620" s="117"/>
      <c r="Y620" s="111"/>
      <c r="Z620" s="111"/>
      <c r="AH620" s="18"/>
      <c r="AI620" s="18"/>
    </row>
    <row r="621" spans="1:35">
      <c r="A621" s="51"/>
      <c r="B621" s="51"/>
      <c r="C621" s="51"/>
      <c r="D621" s="51"/>
      <c r="E621" s="51"/>
      <c r="F621" s="55"/>
      <c r="G621" s="56"/>
      <c r="H621" s="57"/>
      <c r="I621" s="51"/>
      <c r="J621" s="51"/>
      <c r="K621" s="58"/>
      <c r="L621" s="59"/>
      <c r="M621" s="58"/>
      <c r="N621" s="58"/>
      <c r="O621" s="51"/>
      <c r="P621" s="51"/>
      <c r="Q621" s="37"/>
      <c r="R621" s="70"/>
      <c r="S621" s="70"/>
      <c r="T621" s="70"/>
      <c r="U621" s="71"/>
      <c r="V621" s="73"/>
      <c r="W621" s="75"/>
      <c r="X621" s="117"/>
      <c r="Y621" s="111"/>
      <c r="Z621" s="111"/>
      <c r="AH621" s="18"/>
      <c r="AI621" s="18"/>
    </row>
    <row r="622" spans="1:35">
      <c r="A622" s="51"/>
      <c r="B622" s="51"/>
      <c r="C622" s="51"/>
      <c r="D622" s="51"/>
      <c r="E622" s="51"/>
      <c r="F622" s="55"/>
      <c r="G622" s="56"/>
      <c r="H622" s="57"/>
      <c r="I622" s="51"/>
      <c r="J622" s="51"/>
      <c r="K622" s="58"/>
      <c r="L622" s="59"/>
      <c r="M622" s="58"/>
      <c r="N622" s="58"/>
      <c r="O622" s="51"/>
      <c r="P622" s="51"/>
      <c r="Q622" s="37"/>
      <c r="R622" s="70"/>
      <c r="S622" s="70"/>
      <c r="T622" s="70"/>
      <c r="U622" s="71"/>
      <c r="V622" s="73"/>
      <c r="W622" s="75"/>
      <c r="X622" s="117"/>
      <c r="Y622" s="111"/>
      <c r="Z622" s="111"/>
      <c r="AH622" s="18"/>
      <c r="AI622" s="18"/>
    </row>
    <row r="623" spans="1:35">
      <c r="A623" s="51"/>
      <c r="B623" s="51"/>
      <c r="C623" s="51"/>
      <c r="D623" s="51"/>
      <c r="E623" s="51"/>
      <c r="F623" s="55"/>
      <c r="G623" s="56"/>
      <c r="H623" s="57"/>
      <c r="I623" s="51"/>
      <c r="J623" s="51"/>
      <c r="K623" s="58"/>
      <c r="L623" s="59"/>
      <c r="M623" s="58"/>
      <c r="N623" s="58"/>
      <c r="O623" s="51"/>
      <c r="P623" s="51"/>
      <c r="Q623" s="37"/>
      <c r="R623" s="70"/>
      <c r="S623" s="70"/>
      <c r="T623" s="70"/>
      <c r="U623" s="71"/>
      <c r="V623" s="73"/>
      <c r="W623" s="75"/>
      <c r="X623" s="117"/>
      <c r="Y623" s="111"/>
      <c r="Z623" s="111"/>
      <c r="AH623" s="18"/>
      <c r="AI623" s="18"/>
    </row>
    <row r="624" spans="1:35">
      <c r="A624" s="51"/>
      <c r="B624" s="51"/>
      <c r="C624" s="51"/>
      <c r="D624" s="51"/>
      <c r="E624" s="51"/>
      <c r="F624" s="55"/>
      <c r="G624" s="56"/>
      <c r="H624" s="57"/>
      <c r="I624" s="51"/>
      <c r="J624" s="51"/>
      <c r="K624" s="58"/>
      <c r="L624" s="59"/>
      <c r="M624" s="58"/>
      <c r="N624" s="58"/>
      <c r="O624" s="51"/>
      <c r="P624" s="51"/>
      <c r="Q624" s="37"/>
      <c r="R624" s="70"/>
      <c r="S624" s="70"/>
      <c r="T624" s="70"/>
      <c r="U624" s="71"/>
      <c r="V624" s="73"/>
      <c r="W624" s="75"/>
      <c r="X624" s="117"/>
      <c r="Y624" s="111"/>
      <c r="Z624" s="111"/>
      <c r="AH624" s="18"/>
      <c r="AI624" s="18"/>
    </row>
    <row r="625" spans="1:35">
      <c r="A625" s="51"/>
      <c r="B625" s="51"/>
      <c r="C625" s="51"/>
      <c r="D625" s="51"/>
      <c r="E625" s="51"/>
      <c r="F625" s="55"/>
      <c r="G625" s="56"/>
      <c r="H625" s="57"/>
      <c r="I625" s="51"/>
      <c r="J625" s="51"/>
      <c r="K625" s="58"/>
      <c r="L625" s="59"/>
      <c r="M625" s="58"/>
      <c r="N625" s="58"/>
      <c r="O625" s="51"/>
      <c r="P625" s="51"/>
      <c r="Q625" s="37"/>
      <c r="R625" s="70"/>
      <c r="S625" s="70"/>
      <c r="T625" s="70"/>
      <c r="U625" s="71"/>
      <c r="V625" s="73"/>
      <c r="W625" s="75"/>
      <c r="X625" s="117"/>
      <c r="Y625" s="111"/>
      <c r="Z625" s="111"/>
      <c r="AH625" s="18"/>
      <c r="AI625" s="18"/>
    </row>
    <row r="626" spans="1:35">
      <c r="A626" s="51"/>
      <c r="B626" s="51"/>
      <c r="C626" s="51"/>
      <c r="D626" s="51"/>
      <c r="E626" s="51"/>
      <c r="F626" s="55"/>
      <c r="G626" s="56"/>
      <c r="H626" s="57"/>
      <c r="I626" s="51"/>
      <c r="J626" s="51"/>
      <c r="K626" s="58"/>
      <c r="L626" s="59"/>
      <c r="M626" s="58"/>
      <c r="N626" s="58"/>
      <c r="O626" s="51"/>
      <c r="P626" s="51"/>
      <c r="Q626" s="37"/>
      <c r="R626" s="70"/>
      <c r="S626" s="70"/>
      <c r="T626" s="70"/>
      <c r="U626" s="71"/>
      <c r="V626" s="73"/>
      <c r="W626" s="75"/>
      <c r="X626" s="117"/>
      <c r="Y626" s="111"/>
      <c r="Z626" s="111"/>
      <c r="AH626" s="18"/>
      <c r="AI626" s="18"/>
    </row>
    <row r="627" spans="1:35">
      <c r="A627" s="51"/>
      <c r="B627" s="51"/>
      <c r="C627" s="51"/>
      <c r="D627" s="51"/>
      <c r="E627" s="51"/>
      <c r="F627" s="55"/>
      <c r="G627" s="56"/>
      <c r="H627" s="57"/>
      <c r="I627" s="51"/>
      <c r="J627" s="51"/>
      <c r="K627" s="58"/>
      <c r="L627" s="59"/>
      <c r="M627" s="58"/>
      <c r="N627" s="58"/>
      <c r="O627" s="51"/>
      <c r="P627" s="51"/>
      <c r="Q627" s="37"/>
      <c r="R627" s="70"/>
      <c r="S627" s="70"/>
      <c r="T627" s="70"/>
      <c r="U627" s="71"/>
      <c r="V627" s="73"/>
      <c r="W627" s="75"/>
      <c r="X627" s="117"/>
      <c r="Y627" s="111"/>
      <c r="Z627" s="111"/>
      <c r="AH627" s="18"/>
      <c r="AI627" s="18"/>
    </row>
    <row r="628" spans="1:35">
      <c r="A628" s="51"/>
      <c r="B628" s="51"/>
      <c r="C628" s="51"/>
      <c r="D628" s="51"/>
      <c r="E628" s="51"/>
      <c r="F628" s="55"/>
      <c r="G628" s="56"/>
      <c r="H628" s="57"/>
      <c r="I628" s="51"/>
      <c r="J628" s="51"/>
      <c r="K628" s="58"/>
      <c r="L628" s="59"/>
      <c r="M628" s="58"/>
      <c r="N628" s="58"/>
      <c r="O628" s="51"/>
      <c r="P628" s="51"/>
      <c r="Q628" s="37"/>
      <c r="R628" s="70"/>
      <c r="S628" s="70"/>
      <c r="T628" s="70"/>
      <c r="U628" s="71"/>
      <c r="V628" s="73"/>
      <c r="W628" s="75"/>
      <c r="X628" s="117"/>
      <c r="Y628" s="111"/>
      <c r="Z628" s="111"/>
      <c r="AH628" s="18"/>
      <c r="AI628" s="18"/>
    </row>
    <row r="629" spans="1:35">
      <c r="A629" s="51"/>
      <c r="B629" s="51"/>
      <c r="C629" s="51"/>
      <c r="D629" s="51"/>
      <c r="E629" s="51"/>
      <c r="F629" s="55"/>
      <c r="G629" s="56"/>
      <c r="H629" s="57"/>
      <c r="I629" s="51"/>
      <c r="J629" s="51"/>
      <c r="K629" s="58"/>
      <c r="L629" s="59"/>
      <c r="M629" s="58"/>
      <c r="N629" s="58"/>
      <c r="O629" s="51"/>
      <c r="P629" s="51"/>
      <c r="Q629" s="37"/>
      <c r="R629" s="70"/>
      <c r="S629" s="70"/>
      <c r="T629" s="70"/>
      <c r="U629" s="71"/>
      <c r="V629" s="73"/>
      <c r="W629" s="75"/>
      <c r="X629" s="117"/>
      <c r="Y629" s="111"/>
      <c r="Z629" s="111"/>
      <c r="AH629" s="18"/>
      <c r="AI629" s="18"/>
    </row>
    <row r="630" spans="1:35">
      <c r="A630" s="51"/>
      <c r="B630" s="51"/>
      <c r="C630" s="51"/>
      <c r="D630" s="51"/>
      <c r="E630" s="51"/>
      <c r="F630" s="55"/>
      <c r="G630" s="56"/>
      <c r="H630" s="57"/>
      <c r="I630" s="51"/>
      <c r="J630" s="51"/>
      <c r="K630" s="58"/>
      <c r="L630" s="59"/>
      <c r="M630" s="58"/>
      <c r="N630" s="58"/>
      <c r="O630" s="51"/>
      <c r="P630" s="51"/>
      <c r="Q630" s="37"/>
      <c r="R630" s="70"/>
      <c r="S630" s="70"/>
      <c r="T630" s="70"/>
      <c r="U630" s="71"/>
      <c r="V630" s="73"/>
      <c r="W630" s="75"/>
      <c r="X630" s="117"/>
      <c r="Y630" s="111"/>
      <c r="Z630" s="111"/>
      <c r="AH630" s="18"/>
      <c r="AI630" s="18"/>
    </row>
    <row r="631" spans="1:35">
      <c r="A631" s="51"/>
      <c r="B631" s="51"/>
      <c r="C631" s="51"/>
      <c r="D631" s="51"/>
      <c r="E631" s="51"/>
      <c r="F631" s="55"/>
      <c r="G631" s="56"/>
      <c r="H631" s="57"/>
      <c r="I631" s="51"/>
      <c r="J631" s="51"/>
      <c r="K631" s="58"/>
      <c r="L631" s="59"/>
      <c r="M631" s="58"/>
      <c r="N631" s="58"/>
      <c r="O631" s="51"/>
      <c r="P631" s="51"/>
      <c r="Q631" s="37"/>
      <c r="R631" s="70"/>
      <c r="S631" s="70"/>
      <c r="T631" s="70"/>
      <c r="U631" s="71"/>
      <c r="V631" s="73"/>
      <c r="W631" s="75"/>
      <c r="X631" s="117"/>
      <c r="Y631" s="111"/>
      <c r="Z631" s="111"/>
      <c r="AH631" s="18"/>
      <c r="AI631" s="18"/>
    </row>
    <row r="632" spans="1:35">
      <c r="A632" s="51"/>
      <c r="B632" s="51"/>
      <c r="C632" s="51"/>
      <c r="D632" s="51"/>
      <c r="E632" s="51"/>
      <c r="F632" s="55"/>
      <c r="G632" s="56"/>
      <c r="H632" s="57"/>
      <c r="I632" s="51"/>
      <c r="J632" s="51"/>
      <c r="K632" s="58"/>
      <c r="L632" s="59"/>
      <c r="M632" s="58"/>
      <c r="N632" s="58"/>
      <c r="O632" s="51"/>
      <c r="P632" s="51"/>
      <c r="Q632" s="37"/>
      <c r="R632" s="70"/>
      <c r="S632" s="70"/>
      <c r="T632" s="70"/>
      <c r="U632" s="71"/>
      <c r="V632" s="73"/>
      <c r="W632" s="75"/>
      <c r="X632" s="117"/>
      <c r="Y632" s="111"/>
      <c r="Z632" s="111"/>
      <c r="AH632" s="18"/>
      <c r="AI632" s="18"/>
    </row>
    <row r="633" spans="1:35">
      <c r="A633" s="51"/>
      <c r="B633" s="51"/>
      <c r="C633" s="51"/>
      <c r="D633" s="51"/>
      <c r="E633" s="51"/>
      <c r="F633" s="55"/>
      <c r="G633" s="56"/>
      <c r="H633" s="57"/>
      <c r="I633" s="51"/>
      <c r="J633" s="51"/>
      <c r="K633" s="58"/>
      <c r="L633" s="59"/>
      <c r="M633" s="58"/>
      <c r="N633" s="58"/>
      <c r="O633" s="51"/>
      <c r="P633" s="51"/>
      <c r="Q633" s="37"/>
      <c r="R633" s="70"/>
      <c r="S633" s="70"/>
      <c r="T633" s="70"/>
      <c r="U633" s="71"/>
      <c r="V633" s="73"/>
      <c r="W633" s="75"/>
      <c r="X633" s="117"/>
      <c r="Y633" s="111"/>
      <c r="Z633" s="111"/>
      <c r="AH633" s="18"/>
      <c r="AI633" s="18"/>
    </row>
    <row r="634" spans="1:35">
      <c r="A634" s="51"/>
      <c r="B634" s="51"/>
      <c r="C634" s="51"/>
      <c r="D634" s="51"/>
      <c r="E634" s="51"/>
      <c r="F634" s="55"/>
      <c r="G634" s="56"/>
      <c r="H634" s="57"/>
      <c r="I634" s="51"/>
      <c r="J634" s="51"/>
      <c r="K634" s="58"/>
      <c r="L634" s="59"/>
      <c r="M634" s="58"/>
      <c r="N634" s="58"/>
      <c r="O634" s="51"/>
      <c r="P634" s="51"/>
      <c r="Q634" s="37"/>
      <c r="R634" s="70"/>
      <c r="S634" s="70"/>
      <c r="T634" s="70"/>
      <c r="U634" s="71"/>
      <c r="V634" s="73"/>
      <c r="W634" s="75"/>
      <c r="X634" s="117"/>
      <c r="Y634" s="111"/>
      <c r="Z634" s="111"/>
      <c r="AH634" s="18"/>
      <c r="AI634" s="18"/>
    </row>
    <row r="635" spans="1:35">
      <c r="A635" s="51"/>
      <c r="B635" s="51"/>
      <c r="C635" s="51"/>
      <c r="D635" s="51"/>
      <c r="E635" s="51"/>
      <c r="F635" s="55"/>
      <c r="G635" s="56"/>
      <c r="H635" s="57"/>
      <c r="I635" s="51"/>
      <c r="J635" s="51"/>
      <c r="K635" s="58"/>
      <c r="L635" s="59"/>
      <c r="M635" s="58"/>
      <c r="N635" s="58"/>
      <c r="O635" s="51"/>
      <c r="P635" s="51"/>
      <c r="Q635" s="37"/>
      <c r="R635" s="70"/>
      <c r="S635" s="70"/>
      <c r="T635" s="70"/>
      <c r="U635" s="71"/>
      <c r="V635" s="73"/>
      <c r="W635" s="75"/>
      <c r="X635" s="117"/>
      <c r="Y635" s="111"/>
      <c r="Z635" s="111"/>
      <c r="AH635" s="18"/>
      <c r="AI635" s="18"/>
    </row>
    <row r="636" spans="1:35">
      <c r="A636" s="51"/>
      <c r="B636" s="51"/>
      <c r="C636" s="51"/>
      <c r="D636" s="51"/>
      <c r="E636" s="51"/>
      <c r="F636" s="55"/>
      <c r="G636" s="56"/>
      <c r="H636" s="57"/>
      <c r="I636" s="51"/>
      <c r="J636" s="51"/>
      <c r="K636" s="58"/>
      <c r="L636" s="59"/>
      <c r="M636" s="58"/>
      <c r="N636" s="58"/>
      <c r="O636" s="51"/>
      <c r="P636" s="51"/>
      <c r="Q636" s="37"/>
      <c r="R636" s="70"/>
      <c r="S636" s="70"/>
      <c r="T636" s="70"/>
      <c r="U636" s="71"/>
      <c r="V636" s="73"/>
      <c r="W636" s="75"/>
      <c r="X636" s="117"/>
      <c r="Y636" s="111"/>
      <c r="Z636" s="111"/>
      <c r="AH636" s="18"/>
      <c r="AI636" s="18"/>
    </row>
    <row r="637" spans="1:35">
      <c r="A637" s="51"/>
      <c r="B637" s="51"/>
      <c r="C637" s="51"/>
      <c r="D637" s="51"/>
      <c r="E637" s="51"/>
      <c r="F637" s="55"/>
      <c r="G637" s="56"/>
      <c r="H637" s="57"/>
      <c r="I637" s="51"/>
      <c r="J637" s="51"/>
      <c r="K637" s="58"/>
      <c r="L637" s="59"/>
      <c r="M637" s="58"/>
      <c r="N637" s="58"/>
      <c r="O637" s="51"/>
      <c r="P637" s="51"/>
      <c r="Q637" s="37"/>
      <c r="R637" s="70"/>
      <c r="S637" s="70"/>
      <c r="T637" s="70"/>
      <c r="U637" s="71"/>
      <c r="V637" s="73"/>
      <c r="W637" s="75"/>
      <c r="X637" s="117"/>
      <c r="Y637" s="111"/>
      <c r="Z637" s="111"/>
      <c r="AH637" s="18"/>
      <c r="AI637" s="18"/>
    </row>
    <row r="638" spans="1:35">
      <c r="A638" s="51"/>
      <c r="B638" s="51"/>
      <c r="C638" s="51"/>
      <c r="D638" s="51"/>
      <c r="E638" s="51"/>
      <c r="F638" s="55"/>
      <c r="G638" s="56"/>
      <c r="H638" s="57"/>
      <c r="I638" s="51"/>
      <c r="J638" s="51"/>
      <c r="K638" s="58"/>
      <c r="L638" s="59"/>
      <c r="M638" s="58"/>
      <c r="N638" s="58"/>
      <c r="O638" s="51"/>
      <c r="P638" s="51"/>
      <c r="Q638" s="37"/>
      <c r="R638" s="70"/>
      <c r="S638" s="70"/>
      <c r="T638" s="70"/>
      <c r="U638" s="71"/>
      <c r="V638" s="73"/>
      <c r="W638" s="75"/>
      <c r="X638" s="117"/>
      <c r="Y638" s="111"/>
      <c r="Z638" s="111"/>
      <c r="AH638" s="18"/>
      <c r="AI638" s="18"/>
    </row>
    <row r="639" spans="1:35">
      <c r="A639" s="51"/>
      <c r="B639" s="51"/>
      <c r="C639" s="51"/>
      <c r="D639" s="51"/>
      <c r="E639" s="51"/>
      <c r="F639" s="55"/>
      <c r="G639" s="56"/>
      <c r="H639" s="57"/>
      <c r="I639" s="51"/>
      <c r="J639" s="51"/>
      <c r="K639" s="58"/>
      <c r="L639" s="59"/>
      <c r="M639" s="58"/>
      <c r="N639" s="58"/>
      <c r="O639" s="51"/>
      <c r="P639" s="51"/>
      <c r="Q639" s="37"/>
      <c r="R639" s="70"/>
      <c r="S639" s="70"/>
      <c r="T639" s="70"/>
      <c r="U639" s="71"/>
      <c r="V639" s="73"/>
      <c r="W639" s="75"/>
      <c r="X639" s="117"/>
      <c r="Y639" s="111"/>
      <c r="Z639" s="111"/>
      <c r="AH639" s="18"/>
      <c r="AI639" s="18"/>
    </row>
    <row r="640" spans="1:35">
      <c r="A640" s="51"/>
      <c r="B640" s="51"/>
      <c r="C640" s="51"/>
      <c r="D640" s="51"/>
      <c r="E640" s="51"/>
      <c r="F640" s="55"/>
      <c r="G640" s="56"/>
      <c r="H640" s="57"/>
      <c r="I640" s="51"/>
      <c r="J640" s="51"/>
      <c r="K640" s="58"/>
      <c r="L640" s="59"/>
      <c r="M640" s="58"/>
      <c r="N640" s="58"/>
      <c r="O640" s="51"/>
      <c r="P640" s="51"/>
      <c r="Q640" s="37"/>
      <c r="R640" s="70"/>
      <c r="S640" s="70"/>
      <c r="T640" s="70"/>
      <c r="U640" s="71"/>
      <c r="V640" s="73"/>
      <c r="W640" s="75"/>
      <c r="X640" s="117"/>
      <c r="Y640" s="111"/>
      <c r="Z640" s="111"/>
      <c r="AH640" s="18"/>
      <c r="AI640" s="18"/>
    </row>
    <row r="641" spans="1:35">
      <c r="A641" s="51"/>
      <c r="B641" s="51"/>
      <c r="C641" s="51"/>
      <c r="D641" s="51"/>
      <c r="E641" s="51"/>
      <c r="F641" s="55"/>
      <c r="G641" s="56"/>
      <c r="H641" s="57"/>
      <c r="I641" s="51"/>
      <c r="J641" s="51"/>
      <c r="K641" s="58"/>
      <c r="L641" s="59"/>
      <c r="M641" s="58"/>
      <c r="N641" s="58"/>
      <c r="O641" s="51"/>
      <c r="P641" s="51"/>
      <c r="Q641" s="37"/>
      <c r="R641" s="70"/>
      <c r="S641" s="70"/>
      <c r="T641" s="70"/>
      <c r="U641" s="71"/>
      <c r="V641" s="73"/>
      <c r="W641" s="75"/>
      <c r="X641" s="117"/>
      <c r="Y641" s="111"/>
      <c r="Z641" s="111"/>
      <c r="AH641" s="18"/>
      <c r="AI641" s="18"/>
    </row>
    <row r="642" spans="1:35">
      <c r="A642" s="51"/>
      <c r="B642" s="51"/>
      <c r="C642" s="51"/>
      <c r="D642" s="51"/>
      <c r="E642" s="51"/>
      <c r="F642" s="55"/>
      <c r="G642" s="56"/>
      <c r="H642" s="57"/>
      <c r="I642" s="51"/>
      <c r="J642" s="51"/>
      <c r="K642" s="58"/>
      <c r="L642" s="59"/>
      <c r="M642" s="58"/>
      <c r="N642" s="58"/>
      <c r="O642" s="51"/>
      <c r="P642" s="51"/>
      <c r="Q642" s="37"/>
      <c r="R642" s="70"/>
      <c r="S642" s="70"/>
      <c r="T642" s="70"/>
      <c r="U642" s="71"/>
      <c r="V642" s="73"/>
      <c r="W642" s="75"/>
      <c r="X642" s="117"/>
      <c r="Y642" s="111"/>
      <c r="Z642" s="111"/>
      <c r="AH642" s="18"/>
      <c r="AI642" s="18"/>
    </row>
    <row r="643" spans="1:35">
      <c r="A643" s="51"/>
      <c r="B643" s="51"/>
      <c r="C643" s="51"/>
      <c r="D643" s="51"/>
      <c r="E643" s="51"/>
      <c r="F643" s="55"/>
      <c r="G643" s="56"/>
      <c r="H643" s="57"/>
      <c r="I643" s="51"/>
      <c r="J643" s="51"/>
      <c r="K643" s="58"/>
      <c r="L643" s="59"/>
      <c r="M643" s="58"/>
      <c r="N643" s="58"/>
      <c r="O643" s="51"/>
      <c r="P643" s="51"/>
      <c r="Q643" s="37"/>
      <c r="R643" s="70"/>
      <c r="S643" s="70"/>
      <c r="T643" s="70"/>
      <c r="U643" s="71"/>
      <c r="V643" s="73"/>
      <c r="W643" s="75"/>
      <c r="X643" s="117"/>
      <c r="Y643" s="111"/>
      <c r="Z643" s="111"/>
      <c r="AH643" s="18"/>
      <c r="AI643" s="18"/>
    </row>
    <row r="644" spans="1:35">
      <c r="A644" s="51"/>
      <c r="B644" s="51"/>
      <c r="C644" s="51"/>
      <c r="D644" s="51"/>
      <c r="E644" s="51"/>
      <c r="F644" s="55"/>
      <c r="G644" s="56"/>
      <c r="H644" s="57"/>
      <c r="I644" s="51"/>
      <c r="J644" s="51"/>
      <c r="K644" s="58"/>
      <c r="L644" s="59"/>
      <c r="M644" s="58"/>
      <c r="N644" s="58"/>
      <c r="O644" s="51"/>
      <c r="P644" s="51"/>
      <c r="Q644" s="37"/>
      <c r="R644" s="70"/>
      <c r="S644" s="70"/>
      <c r="T644" s="70"/>
      <c r="U644" s="71"/>
      <c r="V644" s="73"/>
      <c r="W644" s="75"/>
      <c r="X644" s="117"/>
      <c r="Y644" s="111"/>
      <c r="Z644" s="111"/>
      <c r="AH644" s="18"/>
      <c r="AI644" s="18"/>
    </row>
    <row r="645" spans="1:35">
      <c r="A645" s="51"/>
      <c r="B645" s="51"/>
      <c r="C645" s="51"/>
      <c r="D645" s="51"/>
      <c r="E645" s="51"/>
      <c r="F645" s="55"/>
      <c r="G645" s="56"/>
      <c r="H645" s="57"/>
      <c r="I645" s="51"/>
      <c r="J645" s="51"/>
      <c r="K645" s="58"/>
      <c r="L645" s="59"/>
      <c r="M645" s="58"/>
      <c r="N645" s="58"/>
      <c r="O645" s="51"/>
      <c r="P645" s="51"/>
      <c r="Q645" s="37"/>
      <c r="R645" s="70"/>
      <c r="S645" s="70"/>
      <c r="T645" s="70"/>
      <c r="U645" s="71"/>
      <c r="V645" s="73"/>
      <c r="W645" s="75"/>
      <c r="X645" s="117"/>
      <c r="Y645" s="111"/>
      <c r="Z645" s="111"/>
      <c r="AH645" s="18"/>
      <c r="AI645" s="18"/>
    </row>
    <row r="646" spans="1:35">
      <c r="A646" s="51"/>
      <c r="B646" s="51"/>
      <c r="C646" s="51"/>
      <c r="D646" s="51"/>
      <c r="E646" s="51"/>
      <c r="F646" s="55"/>
      <c r="G646" s="56"/>
      <c r="H646" s="57"/>
      <c r="I646" s="51"/>
      <c r="J646" s="51"/>
      <c r="K646" s="58"/>
      <c r="L646" s="59"/>
      <c r="M646" s="58"/>
      <c r="N646" s="58"/>
      <c r="O646" s="51"/>
      <c r="P646" s="51"/>
      <c r="Q646" s="37"/>
      <c r="R646" s="70"/>
      <c r="S646" s="70"/>
      <c r="T646" s="70"/>
      <c r="U646" s="71"/>
      <c r="V646" s="73"/>
      <c r="W646" s="75"/>
      <c r="X646" s="117"/>
      <c r="Y646" s="111"/>
      <c r="Z646" s="111"/>
      <c r="AH646" s="18"/>
      <c r="AI646" s="18"/>
    </row>
    <row r="647" spans="1:35">
      <c r="A647" s="51"/>
      <c r="B647" s="51"/>
      <c r="C647" s="51"/>
      <c r="D647" s="51"/>
      <c r="E647" s="51"/>
      <c r="F647" s="55"/>
      <c r="G647" s="56"/>
      <c r="H647" s="57"/>
      <c r="I647" s="51"/>
      <c r="J647" s="51"/>
      <c r="K647" s="58"/>
      <c r="L647" s="59"/>
      <c r="M647" s="58"/>
      <c r="N647" s="58"/>
      <c r="O647" s="51"/>
      <c r="P647" s="51"/>
      <c r="Q647" s="37"/>
      <c r="R647" s="70"/>
      <c r="S647" s="70"/>
      <c r="T647" s="70"/>
      <c r="U647" s="71"/>
      <c r="V647" s="73"/>
      <c r="W647" s="75"/>
      <c r="X647" s="117"/>
      <c r="Y647" s="111"/>
      <c r="Z647" s="111"/>
      <c r="AH647" s="18"/>
      <c r="AI647" s="18"/>
    </row>
    <row r="648" spans="1:35">
      <c r="A648" s="51"/>
      <c r="B648" s="51"/>
      <c r="C648" s="51"/>
      <c r="D648" s="51"/>
      <c r="E648" s="51"/>
      <c r="F648" s="55"/>
      <c r="G648" s="56"/>
      <c r="H648" s="57"/>
      <c r="I648" s="51"/>
      <c r="J648" s="51"/>
      <c r="K648" s="58"/>
      <c r="L648" s="59"/>
      <c r="M648" s="58"/>
      <c r="N648" s="58"/>
      <c r="O648" s="51"/>
      <c r="P648" s="51"/>
      <c r="Q648" s="37"/>
      <c r="R648" s="70"/>
      <c r="S648" s="70"/>
      <c r="T648" s="70"/>
      <c r="U648" s="71"/>
      <c r="V648" s="73"/>
      <c r="W648" s="75"/>
      <c r="X648" s="117"/>
      <c r="Y648" s="111"/>
      <c r="Z648" s="111"/>
      <c r="AH648" s="18"/>
      <c r="AI648" s="18"/>
    </row>
    <row r="649" spans="1:35">
      <c r="A649" s="51"/>
      <c r="B649" s="51"/>
      <c r="C649" s="51"/>
      <c r="D649" s="51"/>
      <c r="E649" s="51"/>
      <c r="F649" s="55"/>
      <c r="G649" s="56"/>
      <c r="H649" s="57"/>
      <c r="I649" s="51"/>
      <c r="J649" s="51"/>
      <c r="K649" s="58"/>
      <c r="L649" s="59"/>
      <c r="M649" s="58"/>
      <c r="N649" s="58"/>
      <c r="O649" s="51"/>
      <c r="P649" s="51"/>
      <c r="Q649" s="37"/>
      <c r="R649" s="70"/>
      <c r="S649" s="70"/>
      <c r="T649" s="70"/>
      <c r="U649" s="71"/>
      <c r="V649" s="73"/>
      <c r="W649" s="75"/>
      <c r="X649" s="117"/>
      <c r="Y649" s="111"/>
      <c r="Z649" s="111"/>
      <c r="AH649" s="18"/>
      <c r="AI649" s="18"/>
    </row>
    <row r="650" spans="1:35">
      <c r="A650" s="51"/>
      <c r="B650" s="51"/>
      <c r="C650" s="51"/>
      <c r="D650" s="51"/>
      <c r="E650" s="51"/>
      <c r="F650" s="55"/>
      <c r="G650" s="56"/>
      <c r="H650" s="57"/>
      <c r="I650" s="51"/>
      <c r="J650" s="51"/>
      <c r="K650" s="58"/>
      <c r="L650" s="59"/>
      <c r="M650" s="58"/>
      <c r="N650" s="58"/>
      <c r="O650" s="51"/>
      <c r="P650" s="51"/>
      <c r="Q650" s="37"/>
      <c r="R650" s="70"/>
      <c r="S650" s="70"/>
      <c r="T650" s="70"/>
      <c r="U650" s="71"/>
      <c r="V650" s="73"/>
      <c r="W650" s="75"/>
      <c r="X650" s="117"/>
      <c r="Y650" s="111"/>
      <c r="Z650" s="111"/>
      <c r="AH650" s="18"/>
      <c r="AI650" s="18"/>
    </row>
    <row r="651" spans="1:35">
      <c r="A651" s="51"/>
      <c r="B651" s="51"/>
      <c r="C651" s="51"/>
      <c r="D651" s="51"/>
      <c r="E651" s="51"/>
      <c r="F651" s="55"/>
      <c r="G651" s="56"/>
      <c r="H651" s="57"/>
      <c r="I651" s="51"/>
      <c r="J651" s="51"/>
      <c r="K651" s="58"/>
      <c r="L651" s="59"/>
      <c r="M651" s="58"/>
      <c r="N651" s="58"/>
      <c r="O651" s="51"/>
      <c r="P651" s="51"/>
      <c r="Q651" s="37"/>
      <c r="R651" s="70"/>
      <c r="S651" s="70"/>
      <c r="T651" s="70"/>
      <c r="U651" s="71"/>
      <c r="V651" s="73"/>
      <c r="W651" s="75"/>
      <c r="X651" s="117"/>
      <c r="Y651" s="111"/>
      <c r="Z651" s="111"/>
      <c r="AH651" s="18"/>
      <c r="AI651" s="18"/>
    </row>
    <row r="652" spans="1:35">
      <c r="A652" s="51"/>
      <c r="B652" s="51"/>
      <c r="C652" s="51"/>
      <c r="D652" s="51"/>
      <c r="E652" s="51"/>
      <c r="F652" s="55"/>
      <c r="G652" s="56"/>
      <c r="H652" s="57"/>
      <c r="I652" s="51"/>
      <c r="J652" s="51"/>
      <c r="K652" s="58"/>
      <c r="L652" s="59"/>
      <c r="M652" s="58"/>
      <c r="N652" s="58"/>
      <c r="O652" s="51"/>
      <c r="P652" s="51"/>
      <c r="Q652" s="37"/>
      <c r="R652" s="70"/>
      <c r="S652" s="70"/>
      <c r="T652" s="70"/>
      <c r="U652" s="71"/>
      <c r="V652" s="73"/>
      <c r="W652" s="75"/>
      <c r="X652" s="117"/>
      <c r="Y652" s="111"/>
      <c r="Z652" s="111"/>
      <c r="AH652" s="18"/>
      <c r="AI652" s="18"/>
    </row>
    <row r="653" spans="1:35">
      <c r="A653" s="51"/>
      <c r="B653" s="51"/>
      <c r="C653" s="51"/>
      <c r="D653" s="51"/>
      <c r="E653" s="51"/>
      <c r="F653" s="55"/>
      <c r="G653" s="56"/>
      <c r="H653" s="57"/>
      <c r="I653" s="51"/>
      <c r="J653" s="51"/>
      <c r="K653" s="58"/>
      <c r="L653" s="59"/>
      <c r="M653" s="58"/>
      <c r="N653" s="58"/>
      <c r="O653" s="51"/>
      <c r="P653" s="51"/>
      <c r="Q653" s="37"/>
      <c r="R653" s="70"/>
      <c r="S653" s="70"/>
      <c r="T653" s="70"/>
      <c r="U653" s="71"/>
      <c r="V653" s="73"/>
      <c r="W653" s="75"/>
      <c r="X653" s="117"/>
      <c r="Y653" s="111"/>
      <c r="Z653" s="111"/>
      <c r="AH653" s="18"/>
      <c r="AI653" s="18"/>
    </row>
    <row r="654" spans="1:35">
      <c r="A654" s="51"/>
      <c r="B654" s="51"/>
      <c r="C654" s="51"/>
      <c r="D654" s="51"/>
      <c r="E654" s="51"/>
      <c r="F654" s="55"/>
      <c r="G654" s="56"/>
      <c r="H654" s="57"/>
      <c r="I654" s="51"/>
      <c r="J654" s="51"/>
      <c r="K654" s="58"/>
      <c r="L654" s="59"/>
      <c r="M654" s="58"/>
      <c r="N654" s="58"/>
      <c r="O654" s="51"/>
      <c r="P654" s="51"/>
      <c r="Q654" s="37"/>
      <c r="R654" s="70"/>
      <c r="S654" s="70"/>
      <c r="T654" s="70"/>
      <c r="U654" s="71"/>
      <c r="V654" s="73"/>
      <c r="W654" s="75"/>
      <c r="X654" s="117"/>
      <c r="Y654" s="111"/>
      <c r="Z654" s="111"/>
      <c r="AH654" s="18"/>
      <c r="AI654" s="18"/>
    </row>
    <row r="655" spans="1:35">
      <c r="A655" s="51"/>
      <c r="B655" s="51"/>
      <c r="C655" s="51"/>
      <c r="D655" s="51"/>
      <c r="E655" s="51"/>
      <c r="F655" s="55"/>
      <c r="G655" s="56"/>
      <c r="H655" s="57"/>
      <c r="I655" s="51"/>
      <c r="J655" s="51"/>
      <c r="K655" s="58"/>
      <c r="L655" s="59"/>
      <c r="M655" s="58"/>
      <c r="N655" s="58"/>
      <c r="O655" s="51"/>
      <c r="P655" s="51"/>
      <c r="Q655" s="37"/>
      <c r="R655" s="70"/>
      <c r="S655" s="70"/>
      <c r="T655" s="70"/>
      <c r="U655" s="71"/>
      <c r="V655" s="73"/>
      <c r="W655" s="75"/>
      <c r="X655" s="117"/>
      <c r="Y655" s="111"/>
      <c r="Z655" s="111"/>
      <c r="AH655" s="18"/>
      <c r="AI655" s="18"/>
    </row>
    <row r="656" spans="1:35">
      <c r="A656" s="51"/>
      <c r="B656" s="51"/>
      <c r="C656" s="51"/>
      <c r="D656" s="51"/>
      <c r="E656" s="51"/>
      <c r="F656" s="55"/>
      <c r="G656" s="56"/>
      <c r="H656" s="57"/>
      <c r="I656" s="51"/>
      <c r="J656" s="51"/>
      <c r="K656" s="58"/>
      <c r="L656" s="59"/>
      <c r="M656" s="58"/>
      <c r="N656" s="58"/>
      <c r="O656" s="51"/>
      <c r="P656" s="51"/>
      <c r="Q656" s="37"/>
      <c r="R656" s="70"/>
      <c r="S656" s="70"/>
      <c r="T656" s="70"/>
      <c r="U656" s="71"/>
      <c r="V656" s="73"/>
      <c r="W656" s="75"/>
      <c r="X656" s="117"/>
      <c r="Y656" s="111"/>
      <c r="Z656" s="111"/>
      <c r="AH656" s="18"/>
      <c r="AI656" s="18"/>
    </row>
    <row r="657" spans="1:35">
      <c r="A657" s="51"/>
      <c r="B657" s="51"/>
      <c r="C657" s="51"/>
      <c r="D657" s="51"/>
      <c r="E657" s="51"/>
      <c r="F657" s="55"/>
      <c r="G657" s="56"/>
      <c r="H657" s="57"/>
      <c r="I657" s="51"/>
      <c r="J657" s="51"/>
      <c r="K657" s="58"/>
      <c r="L657" s="59"/>
      <c r="M657" s="58"/>
      <c r="N657" s="58"/>
      <c r="O657" s="51"/>
      <c r="P657" s="51"/>
      <c r="Q657" s="37"/>
      <c r="R657" s="70"/>
      <c r="S657" s="70"/>
      <c r="T657" s="70"/>
      <c r="U657" s="71"/>
      <c r="V657" s="73"/>
      <c r="W657" s="75"/>
      <c r="X657" s="117"/>
      <c r="Y657" s="111"/>
      <c r="Z657" s="111"/>
      <c r="AH657" s="18"/>
      <c r="AI657" s="18"/>
    </row>
    <row r="658" spans="1:35">
      <c r="A658" s="51"/>
      <c r="B658" s="51"/>
      <c r="C658" s="51"/>
      <c r="D658" s="51"/>
      <c r="E658" s="51"/>
      <c r="F658" s="55"/>
      <c r="G658" s="56"/>
      <c r="H658" s="57"/>
      <c r="I658" s="51"/>
      <c r="J658" s="51"/>
      <c r="K658" s="58"/>
      <c r="L658" s="59"/>
      <c r="M658" s="58"/>
      <c r="N658" s="58"/>
      <c r="O658" s="51"/>
      <c r="P658" s="51"/>
      <c r="Q658" s="37"/>
      <c r="R658" s="70"/>
      <c r="S658" s="70"/>
      <c r="T658" s="70"/>
      <c r="U658" s="71"/>
      <c r="V658" s="73"/>
      <c r="W658" s="75"/>
      <c r="X658" s="117"/>
      <c r="Y658" s="111"/>
      <c r="Z658" s="111"/>
      <c r="AH658" s="18"/>
      <c r="AI658" s="18"/>
    </row>
    <row r="659" spans="1:35">
      <c r="A659" s="51"/>
      <c r="B659" s="51"/>
      <c r="C659" s="51"/>
      <c r="D659" s="51"/>
      <c r="E659" s="51"/>
      <c r="F659" s="55"/>
      <c r="G659" s="56"/>
      <c r="H659" s="57"/>
      <c r="I659" s="51"/>
      <c r="J659" s="51"/>
      <c r="K659" s="58"/>
      <c r="L659" s="59"/>
      <c r="M659" s="58"/>
      <c r="N659" s="58"/>
      <c r="O659" s="51"/>
      <c r="P659" s="51"/>
      <c r="Q659" s="37"/>
      <c r="R659" s="70"/>
      <c r="S659" s="70"/>
      <c r="T659" s="70"/>
      <c r="U659" s="71"/>
      <c r="V659" s="73"/>
      <c r="W659" s="75"/>
      <c r="X659" s="117"/>
      <c r="Y659" s="111"/>
      <c r="Z659" s="111"/>
      <c r="AH659" s="18"/>
      <c r="AI659" s="18"/>
    </row>
    <row r="660" spans="1:35">
      <c r="A660" s="51"/>
      <c r="B660" s="51"/>
      <c r="C660" s="51"/>
      <c r="D660" s="51"/>
      <c r="E660" s="51"/>
      <c r="F660" s="55"/>
      <c r="G660" s="56"/>
      <c r="H660" s="57"/>
      <c r="I660" s="51"/>
      <c r="J660" s="51"/>
      <c r="K660" s="58"/>
      <c r="L660" s="59"/>
      <c r="M660" s="58"/>
      <c r="N660" s="58"/>
      <c r="O660" s="51"/>
      <c r="P660" s="51"/>
      <c r="Q660" s="37"/>
      <c r="R660" s="70"/>
      <c r="S660" s="70"/>
      <c r="T660" s="70"/>
      <c r="U660" s="71"/>
      <c r="V660" s="73"/>
      <c r="W660" s="75"/>
      <c r="X660" s="117"/>
      <c r="Y660" s="111"/>
      <c r="Z660" s="111"/>
      <c r="AH660" s="18"/>
      <c r="AI660" s="18"/>
    </row>
    <row r="661" spans="1:35">
      <c r="A661" s="51"/>
      <c r="B661" s="51"/>
      <c r="C661" s="51"/>
      <c r="D661" s="51"/>
      <c r="E661" s="51"/>
      <c r="F661" s="55"/>
      <c r="G661" s="56"/>
      <c r="H661" s="57"/>
      <c r="I661" s="51"/>
      <c r="J661" s="51"/>
      <c r="K661" s="58"/>
      <c r="L661" s="59"/>
      <c r="M661" s="58"/>
      <c r="N661" s="58"/>
      <c r="O661" s="51"/>
      <c r="P661" s="51"/>
      <c r="Q661" s="37"/>
      <c r="R661" s="70"/>
      <c r="S661" s="70"/>
      <c r="T661" s="70"/>
      <c r="U661" s="71"/>
      <c r="V661" s="73"/>
      <c r="W661" s="75"/>
      <c r="X661" s="117"/>
      <c r="Y661" s="111"/>
      <c r="Z661" s="111"/>
      <c r="AH661" s="18"/>
      <c r="AI661" s="18"/>
    </row>
    <row r="662" spans="1:35">
      <c r="A662" s="51"/>
      <c r="B662" s="51"/>
      <c r="C662" s="51"/>
      <c r="D662" s="51"/>
      <c r="E662" s="51"/>
      <c r="F662" s="55"/>
      <c r="G662" s="56"/>
      <c r="H662" s="57"/>
      <c r="I662" s="51"/>
      <c r="J662" s="51"/>
      <c r="K662" s="58"/>
      <c r="L662" s="59"/>
      <c r="M662" s="58"/>
      <c r="N662" s="58"/>
      <c r="O662" s="51"/>
      <c r="P662" s="51"/>
      <c r="Q662" s="37"/>
      <c r="R662" s="70"/>
      <c r="S662" s="70"/>
      <c r="T662" s="70"/>
      <c r="U662" s="71"/>
      <c r="V662" s="73"/>
      <c r="W662" s="75"/>
      <c r="X662" s="117"/>
      <c r="Y662" s="111"/>
      <c r="Z662" s="111"/>
      <c r="AH662" s="18"/>
      <c r="AI662" s="18"/>
    </row>
    <row r="663" spans="1:35">
      <c r="A663" s="51"/>
      <c r="B663" s="51"/>
      <c r="C663" s="51"/>
      <c r="D663" s="51"/>
      <c r="E663" s="51"/>
      <c r="F663" s="55"/>
      <c r="G663" s="56"/>
      <c r="H663" s="57"/>
      <c r="I663" s="51"/>
      <c r="J663" s="51"/>
      <c r="K663" s="58"/>
      <c r="L663" s="59"/>
      <c r="M663" s="58"/>
      <c r="N663" s="58"/>
      <c r="O663" s="51"/>
      <c r="P663" s="51"/>
      <c r="Q663" s="37"/>
      <c r="R663" s="70"/>
      <c r="S663" s="70"/>
      <c r="T663" s="70"/>
      <c r="U663" s="71"/>
      <c r="V663" s="73"/>
      <c r="W663" s="75"/>
      <c r="X663" s="117"/>
      <c r="Y663" s="111"/>
      <c r="Z663" s="111"/>
      <c r="AH663" s="18"/>
      <c r="AI663" s="18"/>
    </row>
    <row r="664" spans="1:35">
      <c r="A664" s="51"/>
      <c r="B664" s="51"/>
      <c r="C664" s="51"/>
      <c r="D664" s="51"/>
      <c r="E664" s="51"/>
      <c r="F664" s="55"/>
      <c r="G664" s="56"/>
      <c r="H664" s="57"/>
      <c r="I664" s="51"/>
      <c r="J664" s="51"/>
      <c r="K664" s="58"/>
      <c r="L664" s="59"/>
      <c r="M664" s="58"/>
      <c r="N664" s="58"/>
      <c r="O664" s="51"/>
      <c r="P664" s="51"/>
      <c r="Q664" s="37"/>
      <c r="R664" s="70"/>
      <c r="S664" s="70"/>
      <c r="T664" s="70"/>
      <c r="U664" s="71"/>
      <c r="V664" s="73"/>
      <c r="W664" s="75"/>
      <c r="X664" s="117"/>
      <c r="Y664" s="111"/>
      <c r="Z664" s="111"/>
      <c r="AH664" s="18"/>
      <c r="AI664" s="18"/>
    </row>
    <row r="665" spans="1:35">
      <c r="A665" s="51"/>
      <c r="B665" s="51"/>
      <c r="C665" s="51"/>
      <c r="D665" s="51"/>
      <c r="E665" s="51"/>
      <c r="F665" s="55"/>
      <c r="G665" s="56"/>
      <c r="H665" s="57"/>
      <c r="I665" s="51"/>
      <c r="J665" s="51"/>
      <c r="K665" s="58"/>
      <c r="L665" s="59"/>
      <c r="M665" s="58"/>
      <c r="N665" s="58"/>
      <c r="O665" s="51"/>
      <c r="P665" s="51"/>
      <c r="Q665" s="37"/>
      <c r="R665" s="70"/>
      <c r="S665" s="70"/>
      <c r="T665" s="70"/>
      <c r="U665" s="71"/>
      <c r="V665" s="73"/>
      <c r="W665" s="75"/>
      <c r="X665" s="117"/>
      <c r="Y665" s="111"/>
      <c r="Z665" s="111"/>
      <c r="AH665" s="18"/>
      <c r="AI665" s="18"/>
    </row>
    <row r="666" spans="1:35">
      <c r="A666" s="51"/>
      <c r="B666" s="51"/>
      <c r="C666" s="51"/>
      <c r="D666" s="51"/>
      <c r="E666" s="51"/>
      <c r="F666" s="55"/>
      <c r="G666" s="56"/>
      <c r="H666" s="57"/>
      <c r="I666" s="51"/>
      <c r="J666" s="51"/>
      <c r="K666" s="58"/>
      <c r="L666" s="59"/>
      <c r="M666" s="58"/>
      <c r="N666" s="58"/>
      <c r="O666" s="51"/>
      <c r="P666" s="51"/>
      <c r="Q666" s="37"/>
      <c r="R666" s="70"/>
      <c r="S666" s="70"/>
      <c r="T666" s="70"/>
      <c r="U666" s="71"/>
      <c r="V666" s="73"/>
      <c r="W666" s="75"/>
      <c r="X666" s="117"/>
      <c r="Y666" s="111"/>
      <c r="Z666" s="111"/>
      <c r="AH666" s="18"/>
      <c r="AI666" s="18"/>
    </row>
    <row r="667" spans="1:35">
      <c r="A667" s="51"/>
      <c r="B667" s="51"/>
      <c r="C667" s="51"/>
      <c r="D667" s="51"/>
      <c r="E667" s="51"/>
      <c r="F667" s="55"/>
      <c r="G667" s="56"/>
      <c r="H667" s="57"/>
      <c r="I667" s="51"/>
      <c r="J667" s="51"/>
      <c r="K667" s="58"/>
      <c r="L667" s="59"/>
      <c r="M667" s="58"/>
      <c r="N667" s="58"/>
      <c r="O667" s="51"/>
      <c r="P667" s="51"/>
      <c r="Q667" s="37"/>
      <c r="R667" s="70"/>
      <c r="S667" s="70"/>
      <c r="T667" s="70"/>
      <c r="U667" s="71"/>
      <c r="V667" s="73"/>
      <c r="W667" s="75"/>
      <c r="X667" s="117"/>
      <c r="Y667" s="111"/>
      <c r="Z667" s="111"/>
      <c r="AH667" s="18"/>
      <c r="AI667" s="18"/>
    </row>
    <row r="668" spans="1:35">
      <c r="A668" s="51"/>
      <c r="B668" s="51"/>
      <c r="C668" s="51"/>
      <c r="D668" s="51"/>
      <c r="E668" s="51"/>
      <c r="F668" s="55"/>
      <c r="G668" s="56"/>
      <c r="H668" s="57"/>
      <c r="I668" s="51"/>
      <c r="J668" s="51"/>
      <c r="K668" s="58"/>
      <c r="L668" s="59"/>
      <c r="M668" s="58"/>
      <c r="N668" s="58"/>
      <c r="O668" s="51"/>
      <c r="P668" s="51"/>
      <c r="Q668" s="37"/>
      <c r="R668" s="70"/>
      <c r="S668" s="70"/>
      <c r="T668" s="70"/>
      <c r="U668" s="71"/>
      <c r="V668" s="73"/>
      <c r="W668" s="75"/>
      <c r="X668" s="117"/>
      <c r="Y668" s="111"/>
      <c r="Z668" s="111"/>
      <c r="AH668" s="18"/>
      <c r="AI668" s="18"/>
    </row>
    <row r="669" spans="1:35">
      <c r="A669" s="51"/>
      <c r="B669" s="51"/>
      <c r="C669" s="51"/>
      <c r="D669" s="51"/>
      <c r="E669" s="51"/>
      <c r="F669" s="55"/>
      <c r="G669" s="56"/>
      <c r="H669" s="57"/>
      <c r="I669" s="51"/>
      <c r="J669" s="51"/>
      <c r="K669" s="58"/>
      <c r="L669" s="59"/>
      <c r="M669" s="58"/>
      <c r="N669" s="58"/>
      <c r="O669" s="51"/>
      <c r="P669" s="51"/>
      <c r="Q669" s="37"/>
      <c r="R669" s="70"/>
      <c r="S669" s="70"/>
      <c r="T669" s="70"/>
      <c r="U669" s="71"/>
      <c r="V669" s="73"/>
      <c r="W669" s="75"/>
      <c r="X669" s="117"/>
      <c r="Y669" s="111"/>
      <c r="Z669" s="111"/>
      <c r="AH669" s="18"/>
      <c r="AI669" s="18"/>
    </row>
    <row r="670" spans="1:35">
      <c r="A670" s="51"/>
      <c r="B670" s="51"/>
      <c r="C670" s="51"/>
      <c r="D670" s="51"/>
      <c r="E670" s="51"/>
      <c r="F670" s="55"/>
      <c r="G670" s="56"/>
      <c r="H670" s="57"/>
      <c r="I670" s="51"/>
      <c r="J670" s="51"/>
      <c r="K670" s="58"/>
      <c r="L670" s="59"/>
      <c r="M670" s="58"/>
      <c r="N670" s="58"/>
      <c r="O670" s="51"/>
      <c r="P670" s="51"/>
      <c r="Q670" s="37"/>
      <c r="R670" s="70"/>
      <c r="S670" s="70"/>
      <c r="T670" s="70"/>
      <c r="U670" s="71"/>
      <c r="V670" s="73"/>
      <c r="W670" s="75"/>
      <c r="X670" s="117"/>
      <c r="Y670" s="111"/>
      <c r="Z670" s="111"/>
      <c r="AH670" s="18"/>
      <c r="AI670" s="18"/>
    </row>
    <row r="671" spans="1:35">
      <c r="A671" s="51"/>
      <c r="B671" s="51"/>
      <c r="C671" s="51"/>
      <c r="D671" s="51"/>
      <c r="E671" s="51"/>
      <c r="F671" s="55"/>
      <c r="G671" s="56"/>
      <c r="H671" s="57"/>
      <c r="I671" s="51"/>
      <c r="J671" s="51"/>
      <c r="K671" s="58"/>
      <c r="L671" s="59"/>
      <c r="M671" s="58"/>
      <c r="N671" s="58"/>
      <c r="O671" s="51"/>
      <c r="P671" s="51"/>
      <c r="Q671" s="37"/>
      <c r="R671" s="70"/>
      <c r="S671" s="70"/>
      <c r="T671" s="70"/>
      <c r="U671" s="71"/>
      <c r="V671" s="73"/>
      <c r="W671" s="75"/>
      <c r="X671" s="117"/>
      <c r="Y671" s="111"/>
      <c r="Z671" s="111"/>
      <c r="AH671" s="18"/>
      <c r="AI671" s="18"/>
    </row>
    <row r="672" spans="1:35">
      <c r="A672" s="51"/>
      <c r="B672" s="51"/>
      <c r="C672" s="51"/>
      <c r="D672" s="51"/>
      <c r="E672" s="51"/>
      <c r="F672" s="55"/>
      <c r="G672" s="56"/>
      <c r="H672" s="57"/>
      <c r="I672" s="51"/>
      <c r="J672" s="51"/>
      <c r="K672" s="58"/>
      <c r="L672" s="59"/>
      <c r="M672" s="58"/>
      <c r="N672" s="58"/>
      <c r="O672" s="51"/>
      <c r="P672" s="51"/>
      <c r="Q672" s="37"/>
      <c r="R672" s="70"/>
      <c r="S672" s="70"/>
      <c r="T672" s="70"/>
      <c r="U672" s="71"/>
      <c r="V672" s="73"/>
      <c r="W672" s="75"/>
      <c r="X672" s="117"/>
      <c r="Y672" s="111"/>
      <c r="Z672" s="111"/>
      <c r="AH672" s="18"/>
      <c r="AI672" s="18"/>
    </row>
    <row r="673" spans="1:35">
      <c r="A673" s="51"/>
      <c r="B673" s="51"/>
      <c r="C673" s="51"/>
      <c r="D673" s="51"/>
      <c r="E673" s="51"/>
      <c r="F673" s="55"/>
      <c r="G673" s="56"/>
      <c r="H673" s="57"/>
      <c r="I673" s="51"/>
      <c r="J673" s="51"/>
      <c r="K673" s="58"/>
      <c r="L673" s="59"/>
      <c r="M673" s="58"/>
      <c r="N673" s="58"/>
      <c r="O673" s="51"/>
      <c r="P673" s="51"/>
      <c r="Q673" s="37"/>
      <c r="R673" s="70"/>
      <c r="S673" s="70"/>
      <c r="T673" s="70"/>
      <c r="U673" s="71"/>
      <c r="V673" s="73"/>
      <c r="W673" s="75"/>
      <c r="X673" s="117"/>
      <c r="Y673" s="111"/>
      <c r="Z673" s="111"/>
      <c r="AH673" s="18"/>
      <c r="AI673" s="18"/>
    </row>
    <row r="674" spans="1:35">
      <c r="A674" s="51"/>
      <c r="B674" s="51"/>
      <c r="C674" s="51"/>
      <c r="D674" s="51"/>
      <c r="E674" s="51"/>
      <c r="F674" s="55"/>
      <c r="G674" s="56"/>
      <c r="H674" s="57"/>
      <c r="I674" s="51"/>
      <c r="J674" s="51"/>
      <c r="K674" s="58"/>
      <c r="L674" s="59"/>
      <c r="M674" s="58"/>
      <c r="N674" s="58"/>
      <c r="O674" s="51"/>
      <c r="P674" s="51"/>
      <c r="Q674" s="37"/>
      <c r="R674" s="70"/>
      <c r="S674" s="70"/>
      <c r="T674" s="70"/>
      <c r="U674" s="71"/>
      <c r="V674" s="73"/>
      <c r="W674" s="75"/>
      <c r="X674" s="117"/>
      <c r="Y674" s="111"/>
      <c r="Z674" s="111"/>
      <c r="AH674" s="18"/>
      <c r="AI674" s="18"/>
    </row>
    <row r="675" spans="1:35">
      <c r="A675" s="51"/>
      <c r="B675" s="51"/>
      <c r="C675" s="51"/>
      <c r="D675" s="51"/>
      <c r="E675" s="51"/>
      <c r="F675" s="55"/>
      <c r="G675" s="56"/>
      <c r="H675" s="57"/>
      <c r="I675" s="51"/>
      <c r="J675" s="51"/>
      <c r="K675" s="58"/>
      <c r="L675" s="59"/>
      <c r="M675" s="58"/>
      <c r="N675" s="58"/>
      <c r="O675" s="51"/>
      <c r="P675" s="51"/>
      <c r="Q675" s="37"/>
      <c r="R675" s="70"/>
      <c r="S675" s="70"/>
      <c r="T675" s="70"/>
      <c r="U675" s="71"/>
      <c r="V675" s="73"/>
      <c r="W675" s="75"/>
      <c r="X675" s="117"/>
      <c r="Y675" s="111"/>
      <c r="Z675" s="111"/>
      <c r="AH675" s="18"/>
      <c r="AI675" s="18"/>
    </row>
    <row r="676" spans="1:35">
      <c r="A676" s="51"/>
      <c r="B676" s="51"/>
      <c r="C676" s="51"/>
      <c r="D676" s="51"/>
      <c r="E676" s="51"/>
      <c r="F676" s="55"/>
      <c r="G676" s="56"/>
      <c r="H676" s="57"/>
      <c r="I676" s="51"/>
      <c r="J676" s="51"/>
      <c r="K676" s="58"/>
      <c r="L676" s="59"/>
      <c r="M676" s="58"/>
      <c r="N676" s="58"/>
      <c r="O676" s="51"/>
      <c r="P676" s="51"/>
      <c r="Q676" s="37"/>
      <c r="R676" s="70"/>
      <c r="S676" s="70"/>
      <c r="T676" s="70"/>
      <c r="U676" s="71"/>
      <c r="V676" s="73"/>
      <c r="W676" s="75"/>
      <c r="X676" s="117"/>
      <c r="Y676" s="111"/>
      <c r="Z676" s="111"/>
      <c r="AH676" s="18"/>
      <c r="AI676" s="18"/>
    </row>
    <row r="677" spans="1:35">
      <c r="A677" s="51"/>
      <c r="B677" s="51"/>
      <c r="C677" s="51"/>
      <c r="D677" s="51"/>
      <c r="E677" s="51"/>
      <c r="F677" s="55"/>
      <c r="G677" s="56"/>
      <c r="H677" s="57"/>
      <c r="I677" s="51"/>
      <c r="J677" s="51"/>
      <c r="K677" s="58"/>
      <c r="L677" s="59"/>
      <c r="M677" s="58"/>
      <c r="N677" s="58"/>
      <c r="O677" s="51"/>
      <c r="P677" s="51"/>
      <c r="Q677" s="37"/>
      <c r="R677" s="70"/>
      <c r="S677" s="70"/>
      <c r="T677" s="70"/>
      <c r="U677" s="71"/>
      <c r="V677" s="73"/>
      <c r="W677" s="75"/>
      <c r="X677" s="117"/>
      <c r="Y677" s="111"/>
      <c r="Z677" s="111"/>
      <c r="AH677" s="18"/>
      <c r="AI677" s="18"/>
    </row>
    <row r="678" spans="1:35">
      <c r="A678" s="51"/>
      <c r="B678" s="51"/>
      <c r="C678" s="51"/>
      <c r="D678" s="51"/>
      <c r="E678" s="51"/>
      <c r="F678" s="55"/>
      <c r="G678" s="56"/>
      <c r="H678" s="57"/>
      <c r="I678" s="51"/>
      <c r="J678" s="51"/>
      <c r="K678" s="58"/>
      <c r="L678" s="59"/>
      <c r="M678" s="58"/>
      <c r="N678" s="58"/>
      <c r="O678" s="51"/>
      <c r="P678" s="51"/>
      <c r="Q678" s="37"/>
      <c r="R678" s="70"/>
      <c r="S678" s="70"/>
      <c r="T678" s="70"/>
      <c r="U678" s="71"/>
      <c r="V678" s="73"/>
      <c r="W678" s="75"/>
      <c r="X678" s="117"/>
      <c r="Y678" s="111"/>
      <c r="Z678" s="111"/>
      <c r="AH678" s="18"/>
      <c r="AI678" s="18"/>
    </row>
    <row r="679" spans="1:35">
      <c r="A679" s="51"/>
      <c r="B679" s="51"/>
      <c r="C679" s="51"/>
      <c r="D679" s="51"/>
      <c r="E679" s="51"/>
      <c r="F679" s="55"/>
      <c r="G679" s="56"/>
      <c r="H679" s="57"/>
      <c r="I679" s="51"/>
      <c r="J679" s="51"/>
      <c r="K679" s="58"/>
      <c r="L679" s="59"/>
      <c r="M679" s="58"/>
      <c r="N679" s="58"/>
      <c r="O679" s="51"/>
      <c r="P679" s="51"/>
      <c r="Q679" s="37"/>
      <c r="R679" s="70"/>
      <c r="S679" s="70"/>
      <c r="T679" s="70"/>
      <c r="U679" s="71"/>
      <c r="V679" s="73"/>
      <c r="W679" s="75"/>
      <c r="X679" s="117"/>
      <c r="Y679" s="111"/>
      <c r="Z679" s="111"/>
      <c r="AH679" s="18"/>
      <c r="AI679" s="18"/>
    </row>
    <row r="680" spans="1:35">
      <c r="A680" s="51"/>
      <c r="B680" s="51"/>
      <c r="C680" s="51"/>
      <c r="D680" s="51"/>
      <c r="E680" s="51"/>
      <c r="F680" s="55"/>
      <c r="G680" s="56"/>
      <c r="H680" s="57"/>
      <c r="I680" s="51"/>
      <c r="J680" s="51"/>
      <c r="K680" s="58"/>
      <c r="L680" s="59"/>
      <c r="M680" s="58"/>
      <c r="N680" s="58"/>
      <c r="O680" s="51"/>
      <c r="P680" s="51"/>
      <c r="Q680" s="37"/>
      <c r="R680" s="70"/>
      <c r="S680" s="70"/>
      <c r="T680" s="70"/>
      <c r="U680" s="71"/>
      <c r="V680" s="73"/>
      <c r="W680" s="75"/>
      <c r="X680" s="117"/>
      <c r="Y680" s="111"/>
      <c r="Z680" s="111"/>
      <c r="AH680" s="18"/>
      <c r="AI680" s="18"/>
    </row>
    <row r="681" spans="1:35">
      <c r="A681" s="51"/>
      <c r="B681" s="51"/>
      <c r="C681" s="51"/>
      <c r="D681" s="51"/>
      <c r="E681" s="51"/>
      <c r="F681" s="55"/>
      <c r="G681" s="56"/>
      <c r="H681" s="57"/>
      <c r="I681" s="51"/>
      <c r="J681" s="51"/>
      <c r="K681" s="58"/>
      <c r="L681" s="59"/>
      <c r="M681" s="58"/>
      <c r="N681" s="58"/>
      <c r="O681" s="51"/>
      <c r="P681" s="51"/>
      <c r="Q681" s="37"/>
      <c r="R681" s="70"/>
      <c r="S681" s="70"/>
      <c r="T681" s="70"/>
      <c r="U681" s="71"/>
      <c r="V681" s="73"/>
      <c r="W681" s="75"/>
      <c r="X681" s="117"/>
      <c r="Y681" s="111"/>
      <c r="Z681" s="111"/>
      <c r="AH681" s="18"/>
      <c r="AI681" s="18"/>
    </row>
    <row r="682" spans="1:35">
      <c r="A682" s="51"/>
      <c r="B682" s="51"/>
      <c r="C682" s="51"/>
      <c r="D682" s="51"/>
      <c r="E682" s="51"/>
      <c r="F682" s="55"/>
      <c r="G682" s="56"/>
      <c r="H682" s="57"/>
      <c r="I682" s="51"/>
      <c r="J682" s="51"/>
      <c r="K682" s="58"/>
      <c r="L682" s="59"/>
      <c r="M682" s="58"/>
      <c r="N682" s="58"/>
      <c r="O682" s="51"/>
      <c r="P682" s="51"/>
      <c r="Q682" s="37"/>
      <c r="R682" s="70"/>
      <c r="S682" s="70"/>
      <c r="T682" s="70"/>
      <c r="U682" s="71"/>
      <c r="V682" s="73"/>
      <c r="W682" s="75"/>
      <c r="X682" s="117"/>
      <c r="Y682" s="111"/>
      <c r="Z682" s="111"/>
      <c r="AH682" s="18"/>
      <c r="AI682" s="18"/>
    </row>
    <row r="683" spans="1:35">
      <c r="A683" s="51"/>
      <c r="B683" s="51"/>
      <c r="C683" s="51"/>
      <c r="D683" s="51"/>
      <c r="E683" s="51"/>
      <c r="F683" s="55"/>
      <c r="G683" s="56"/>
      <c r="H683" s="57"/>
      <c r="I683" s="51"/>
      <c r="J683" s="51"/>
      <c r="K683" s="58"/>
      <c r="L683" s="59"/>
      <c r="M683" s="58"/>
      <c r="N683" s="58"/>
      <c r="O683" s="51"/>
      <c r="P683" s="51"/>
      <c r="Q683" s="37"/>
      <c r="R683" s="70"/>
      <c r="S683" s="70"/>
      <c r="T683" s="70"/>
      <c r="U683" s="71"/>
      <c r="V683" s="73"/>
      <c r="W683" s="75"/>
      <c r="X683" s="117"/>
      <c r="Y683" s="111"/>
      <c r="Z683" s="111"/>
      <c r="AH683" s="18"/>
      <c r="AI683" s="18"/>
    </row>
    <row r="684" spans="1:35">
      <c r="A684" s="51"/>
      <c r="B684" s="51"/>
      <c r="C684" s="51"/>
      <c r="D684" s="51"/>
      <c r="E684" s="51"/>
      <c r="F684" s="55"/>
      <c r="G684" s="56"/>
      <c r="H684" s="57"/>
      <c r="I684" s="51"/>
      <c r="J684" s="51"/>
      <c r="K684" s="58"/>
      <c r="L684" s="59"/>
      <c r="M684" s="58"/>
      <c r="N684" s="58"/>
      <c r="O684" s="51"/>
      <c r="P684" s="51"/>
      <c r="Q684" s="37"/>
      <c r="R684" s="70"/>
      <c r="S684" s="70"/>
      <c r="T684" s="70"/>
      <c r="U684" s="71"/>
      <c r="V684" s="73"/>
      <c r="W684" s="75"/>
      <c r="X684" s="117"/>
      <c r="Y684" s="111"/>
      <c r="Z684" s="111"/>
      <c r="AH684" s="18"/>
      <c r="AI684" s="18"/>
    </row>
    <row r="685" spans="1:35">
      <c r="A685" s="51"/>
      <c r="B685" s="51"/>
      <c r="C685" s="51"/>
      <c r="D685" s="51"/>
      <c r="E685" s="51"/>
      <c r="F685" s="55"/>
      <c r="G685" s="56"/>
      <c r="H685" s="57"/>
      <c r="I685" s="51"/>
      <c r="J685" s="51"/>
      <c r="K685" s="58"/>
      <c r="L685" s="59"/>
      <c r="M685" s="58"/>
      <c r="N685" s="58"/>
      <c r="O685" s="51"/>
      <c r="P685" s="51"/>
      <c r="Q685" s="37"/>
      <c r="R685" s="70"/>
      <c r="S685" s="70"/>
      <c r="T685" s="70"/>
      <c r="U685" s="71"/>
      <c r="V685" s="73"/>
      <c r="W685" s="75"/>
      <c r="X685" s="117"/>
      <c r="Y685" s="111"/>
      <c r="Z685" s="111"/>
      <c r="AH685" s="18"/>
      <c r="AI685" s="18"/>
    </row>
    <row r="686" spans="1:35">
      <c r="A686" s="51"/>
      <c r="B686" s="51"/>
      <c r="C686" s="51"/>
      <c r="D686" s="51"/>
      <c r="E686" s="51"/>
      <c r="F686" s="55"/>
      <c r="G686" s="56"/>
      <c r="H686" s="57"/>
      <c r="I686" s="51"/>
      <c r="J686" s="51"/>
      <c r="K686" s="58"/>
      <c r="L686" s="59"/>
      <c r="M686" s="58"/>
      <c r="N686" s="58"/>
      <c r="O686" s="51"/>
      <c r="P686" s="51"/>
      <c r="Q686" s="37"/>
      <c r="R686" s="70"/>
      <c r="S686" s="70"/>
      <c r="T686" s="70"/>
      <c r="U686" s="71"/>
      <c r="V686" s="73"/>
      <c r="W686" s="75"/>
      <c r="X686" s="117"/>
      <c r="Y686" s="111"/>
      <c r="Z686" s="111"/>
      <c r="AH686" s="18"/>
      <c r="AI686" s="18"/>
    </row>
    <row r="687" spans="1:35">
      <c r="A687" s="51"/>
      <c r="B687" s="51"/>
      <c r="C687" s="51"/>
      <c r="D687" s="51"/>
      <c r="E687" s="51"/>
      <c r="F687" s="55"/>
      <c r="G687" s="56"/>
      <c r="H687" s="57"/>
      <c r="I687" s="51"/>
      <c r="J687" s="51"/>
      <c r="K687" s="58"/>
      <c r="L687" s="59"/>
      <c r="M687" s="58"/>
      <c r="N687" s="58"/>
      <c r="O687" s="51"/>
      <c r="P687" s="51"/>
      <c r="Q687" s="37"/>
      <c r="R687" s="70"/>
      <c r="S687" s="70"/>
      <c r="T687" s="70"/>
      <c r="U687" s="71"/>
      <c r="V687" s="73"/>
      <c r="W687" s="75"/>
      <c r="X687" s="117"/>
      <c r="Y687" s="111"/>
      <c r="Z687" s="111"/>
      <c r="AH687" s="18"/>
      <c r="AI687" s="18"/>
    </row>
    <row r="688" spans="1:35">
      <c r="A688" s="51"/>
      <c r="B688" s="51"/>
      <c r="C688" s="51"/>
      <c r="D688" s="51"/>
      <c r="E688" s="51"/>
      <c r="F688" s="55"/>
      <c r="G688" s="56"/>
      <c r="H688" s="57"/>
      <c r="I688" s="51"/>
      <c r="J688" s="51"/>
      <c r="K688" s="58"/>
      <c r="L688" s="59"/>
      <c r="M688" s="58"/>
      <c r="N688" s="58"/>
      <c r="O688" s="51"/>
      <c r="P688" s="51"/>
      <c r="Q688" s="37"/>
      <c r="R688" s="70"/>
      <c r="S688" s="70"/>
      <c r="T688" s="70"/>
      <c r="U688" s="71"/>
      <c r="V688" s="73"/>
      <c r="W688" s="75"/>
      <c r="X688" s="117"/>
      <c r="Y688" s="111"/>
      <c r="Z688" s="111"/>
      <c r="AH688" s="18"/>
      <c r="AI688" s="18"/>
    </row>
    <row r="689" spans="1:35">
      <c r="A689" s="51"/>
      <c r="B689" s="51"/>
      <c r="C689" s="51"/>
      <c r="D689" s="51"/>
      <c r="E689" s="51"/>
      <c r="F689" s="55"/>
      <c r="G689" s="56"/>
      <c r="H689" s="57"/>
      <c r="I689" s="51"/>
      <c r="J689" s="51"/>
      <c r="K689" s="58"/>
      <c r="L689" s="59"/>
      <c r="M689" s="58"/>
      <c r="N689" s="58"/>
      <c r="O689" s="51"/>
      <c r="P689" s="51"/>
      <c r="Q689" s="37"/>
      <c r="R689" s="70"/>
      <c r="S689" s="70"/>
      <c r="T689" s="70"/>
      <c r="U689" s="71"/>
      <c r="V689" s="73"/>
      <c r="W689" s="75"/>
      <c r="X689" s="117"/>
      <c r="Y689" s="111"/>
      <c r="Z689" s="111"/>
      <c r="AH689" s="18"/>
      <c r="AI689" s="18"/>
    </row>
    <row r="690" spans="1:35">
      <c r="A690" s="51"/>
      <c r="B690" s="51"/>
      <c r="C690" s="51"/>
      <c r="D690" s="51"/>
      <c r="E690" s="51"/>
      <c r="F690" s="55"/>
      <c r="G690" s="56"/>
      <c r="H690" s="57"/>
      <c r="I690" s="51"/>
      <c r="J690" s="51"/>
      <c r="K690" s="58"/>
      <c r="L690" s="59"/>
      <c r="M690" s="58"/>
      <c r="N690" s="58"/>
      <c r="O690" s="51"/>
      <c r="P690" s="51"/>
      <c r="Q690" s="37"/>
      <c r="R690" s="70"/>
      <c r="S690" s="70"/>
      <c r="T690" s="70"/>
      <c r="U690" s="71"/>
      <c r="V690" s="73"/>
      <c r="W690" s="75"/>
      <c r="X690" s="117"/>
      <c r="Y690" s="111"/>
      <c r="Z690" s="111"/>
      <c r="AH690" s="18"/>
      <c r="AI690" s="18"/>
    </row>
    <row r="691" spans="1:35">
      <c r="A691" s="51"/>
      <c r="B691" s="51"/>
      <c r="C691" s="51"/>
      <c r="D691" s="51"/>
      <c r="E691" s="51"/>
      <c r="F691" s="55"/>
      <c r="G691" s="56"/>
      <c r="H691" s="57"/>
      <c r="I691" s="51"/>
      <c r="J691" s="51"/>
      <c r="K691" s="58"/>
      <c r="L691" s="59"/>
      <c r="M691" s="58"/>
      <c r="N691" s="58"/>
      <c r="O691" s="51"/>
      <c r="P691" s="51"/>
      <c r="Q691" s="37"/>
      <c r="R691" s="70"/>
      <c r="S691" s="70"/>
      <c r="T691" s="70"/>
      <c r="U691" s="71"/>
      <c r="V691" s="73"/>
      <c r="W691" s="75"/>
      <c r="X691" s="117"/>
      <c r="Y691" s="111"/>
      <c r="Z691" s="111"/>
      <c r="AH691" s="18"/>
      <c r="AI691" s="18"/>
    </row>
    <row r="692" spans="1:35">
      <c r="A692" s="51"/>
      <c r="B692" s="51"/>
      <c r="C692" s="51"/>
      <c r="D692" s="51"/>
      <c r="E692" s="51"/>
      <c r="F692" s="55"/>
      <c r="G692" s="56"/>
      <c r="H692" s="57"/>
      <c r="I692" s="51"/>
      <c r="J692" s="51"/>
      <c r="K692" s="58"/>
      <c r="L692" s="59"/>
      <c r="M692" s="58"/>
      <c r="N692" s="58"/>
      <c r="O692" s="51"/>
      <c r="P692" s="51"/>
      <c r="Q692" s="37"/>
      <c r="R692" s="70"/>
      <c r="S692" s="70"/>
      <c r="T692" s="70"/>
      <c r="U692" s="71"/>
      <c r="V692" s="73"/>
      <c r="W692" s="75"/>
      <c r="X692" s="117"/>
      <c r="Y692" s="111"/>
      <c r="Z692" s="111"/>
      <c r="AH692" s="18"/>
      <c r="AI692" s="18"/>
    </row>
    <row r="693" spans="1:35">
      <c r="A693" s="51"/>
      <c r="B693" s="51"/>
      <c r="C693" s="51"/>
      <c r="D693" s="51"/>
      <c r="E693" s="51"/>
      <c r="F693" s="55"/>
      <c r="G693" s="56"/>
      <c r="H693" s="57"/>
      <c r="I693" s="51"/>
      <c r="J693" s="51"/>
      <c r="K693" s="58"/>
      <c r="L693" s="59"/>
      <c r="M693" s="58"/>
      <c r="N693" s="58"/>
      <c r="O693" s="51"/>
      <c r="P693" s="51"/>
      <c r="Q693" s="37"/>
      <c r="R693" s="70"/>
      <c r="S693" s="70"/>
      <c r="T693" s="70"/>
      <c r="U693" s="71"/>
      <c r="V693" s="73"/>
      <c r="W693" s="75"/>
      <c r="X693" s="117"/>
      <c r="Y693" s="111"/>
      <c r="Z693" s="111"/>
      <c r="AH693" s="18"/>
      <c r="AI693" s="18"/>
    </row>
    <row r="694" spans="1:35">
      <c r="A694" s="51"/>
      <c r="B694" s="51"/>
      <c r="C694" s="51"/>
      <c r="D694" s="51"/>
      <c r="E694" s="51"/>
      <c r="F694" s="55"/>
      <c r="G694" s="56"/>
      <c r="H694" s="57"/>
      <c r="I694" s="51"/>
      <c r="J694" s="51"/>
      <c r="K694" s="58"/>
      <c r="L694" s="59"/>
      <c r="M694" s="58"/>
      <c r="N694" s="58"/>
      <c r="O694" s="51"/>
      <c r="P694" s="51"/>
      <c r="Q694" s="37"/>
      <c r="R694" s="70"/>
      <c r="S694" s="70"/>
      <c r="T694" s="70"/>
      <c r="U694" s="71"/>
      <c r="V694" s="73"/>
      <c r="W694" s="75"/>
      <c r="X694" s="117"/>
      <c r="Y694" s="111"/>
      <c r="Z694" s="111"/>
      <c r="AH694" s="18"/>
      <c r="AI694" s="18"/>
    </row>
    <row r="695" spans="1:35">
      <c r="A695" s="51"/>
      <c r="B695" s="51"/>
      <c r="C695" s="51"/>
      <c r="D695" s="51"/>
      <c r="E695" s="51"/>
      <c r="F695" s="55"/>
      <c r="G695" s="56"/>
      <c r="H695" s="57"/>
      <c r="I695" s="51"/>
      <c r="J695" s="51"/>
      <c r="K695" s="58"/>
      <c r="L695" s="59"/>
      <c r="M695" s="58"/>
      <c r="N695" s="58"/>
      <c r="O695" s="51"/>
      <c r="P695" s="51"/>
      <c r="Q695" s="37"/>
      <c r="R695" s="70"/>
      <c r="S695" s="70"/>
      <c r="T695" s="70"/>
      <c r="U695" s="71"/>
      <c r="V695" s="73"/>
      <c r="W695" s="75"/>
      <c r="X695" s="117"/>
      <c r="Y695" s="111"/>
      <c r="Z695" s="111"/>
      <c r="AH695" s="18"/>
      <c r="AI695" s="18"/>
    </row>
    <row r="696" spans="1:35">
      <c r="A696" s="51"/>
      <c r="B696" s="51"/>
      <c r="C696" s="51"/>
      <c r="D696" s="51"/>
      <c r="E696" s="51"/>
      <c r="F696" s="55"/>
      <c r="G696" s="56"/>
      <c r="H696" s="57"/>
      <c r="I696" s="51"/>
      <c r="J696" s="51"/>
      <c r="K696" s="58"/>
      <c r="L696" s="59"/>
      <c r="M696" s="58"/>
      <c r="N696" s="58"/>
      <c r="O696" s="51"/>
      <c r="P696" s="51"/>
      <c r="Q696" s="37"/>
      <c r="R696" s="70"/>
      <c r="S696" s="70"/>
      <c r="T696" s="70"/>
      <c r="U696" s="71"/>
      <c r="V696" s="73"/>
      <c r="W696" s="75"/>
      <c r="X696" s="117"/>
      <c r="Y696" s="111"/>
      <c r="Z696" s="111"/>
      <c r="AH696" s="18"/>
      <c r="AI696" s="18"/>
    </row>
    <row r="697" spans="1:35">
      <c r="A697" s="51"/>
      <c r="B697" s="51"/>
      <c r="C697" s="51"/>
      <c r="D697" s="51"/>
      <c r="E697" s="51"/>
      <c r="F697" s="55"/>
      <c r="G697" s="56"/>
      <c r="H697" s="57"/>
      <c r="I697" s="51"/>
      <c r="J697" s="51"/>
      <c r="K697" s="58"/>
      <c r="L697" s="59"/>
      <c r="M697" s="58"/>
      <c r="N697" s="58"/>
      <c r="O697" s="51"/>
      <c r="P697" s="51"/>
      <c r="Q697" s="37"/>
      <c r="R697" s="70"/>
      <c r="S697" s="70"/>
      <c r="T697" s="70"/>
      <c r="U697" s="71"/>
      <c r="V697" s="73"/>
      <c r="W697" s="75"/>
      <c r="X697" s="117"/>
      <c r="Y697" s="111"/>
      <c r="Z697" s="111"/>
      <c r="AH697" s="18"/>
      <c r="AI697" s="18"/>
    </row>
    <row r="698" spans="1:35">
      <c r="A698" s="51"/>
      <c r="B698" s="51"/>
      <c r="C698" s="51"/>
      <c r="D698" s="51"/>
      <c r="E698" s="51"/>
      <c r="F698" s="55"/>
      <c r="G698" s="56"/>
      <c r="H698" s="57"/>
      <c r="I698" s="51"/>
      <c r="J698" s="51"/>
      <c r="K698" s="58"/>
      <c r="L698" s="59"/>
      <c r="M698" s="58"/>
      <c r="N698" s="58"/>
      <c r="O698" s="51"/>
      <c r="P698" s="51"/>
      <c r="Q698" s="37"/>
      <c r="R698" s="70"/>
      <c r="S698" s="70"/>
      <c r="T698" s="70"/>
      <c r="U698" s="71"/>
      <c r="V698" s="73"/>
      <c r="W698" s="75"/>
      <c r="X698" s="117"/>
      <c r="Y698" s="111"/>
      <c r="Z698" s="111"/>
      <c r="AH698" s="18"/>
      <c r="AI698" s="18"/>
    </row>
    <row r="699" spans="1:35">
      <c r="A699" s="51"/>
      <c r="B699" s="51"/>
      <c r="C699" s="51"/>
      <c r="D699" s="51"/>
      <c r="E699" s="51"/>
      <c r="F699" s="55"/>
      <c r="G699" s="56"/>
      <c r="H699" s="57"/>
      <c r="I699" s="51"/>
      <c r="J699" s="51"/>
      <c r="K699" s="58"/>
      <c r="L699" s="59"/>
      <c r="M699" s="58"/>
      <c r="N699" s="58"/>
      <c r="O699" s="51"/>
      <c r="P699" s="51"/>
      <c r="Q699" s="37"/>
      <c r="R699" s="70"/>
      <c r="S699" s="70"/>
      <c r="T699" s="70"/>
      <c r="U699" s="71"/>
      <c r="V699" s="73"/>
      <c r="W699" s="75"/>
      <c r="X699" s="117"/>
      <c r="Y699" s="111"/>
      <c r="Z699" s="111"/>
      <c r="AH699" s="18"/>
      <c r="AI699" s="18"/>
    </row>
    <row r="700" spans="1:35">
      <c r="A700" s="51"/>
      <c r="B700" s="51"/>
      <c r="C700" s="51"/>
      <c r="D700" s="51"/>
      <c r="E700" s="51"/>
      <c r="F700" s="55"/>
      <c r="G700" s="56"/>
      <c r="H700" s="57"/>
      <c r="I700" s="51"/>
      <c r="J700" s="51"/>
      <c r="K700" s="58"/>
      <c r="L700" s="59"/>
      <c r="M700" s="58"/>
      <c r="N700" s="58"/>
      <c r="O700" s="51"/>
      <c r="P700" s="51"/>
      <c r="Q700" s="37"/>
      <c r="R700" s="70"/>
      <c r="S700" s="70"/>
      <c r="T700" s="70"/>
      <c r="U700" s="71"/>
      <c r="V700" s="73"/>
      <c r="W700" s="75"/>
      <c r="X700" s="117"/>
      <c r="Y700" s="111"/>
      <c r="Z700" s="111"/>
      <c r="AH700" s="18"/>
      <c r="AI700" s="18"/>
    </row>
    <row r="701" spans="1:35">
      <c r="A701" s="51"/>
      <c r="B701" s="51"/>
      <c r="C701" s="51"/>
      <c r="D701" s="51"/>
      <c r="E701" s="51"/>
      <c r="F701" s="55"/>
      <c r="G701" s="56"/>
      <c r="H701" s="57"/>
      <c r="I701" s="51"/>
      <c r="J701" s="51"/>
      <c r="K701" s="58"/>
      <c r="L701" s="59"/>
      <c r="M701" s="58"/>
      <c r="N701" s="58"/>
      <c r="O701" s="51"/>
      <c r="P701" s="51"/>
      <c r="Q701" s="37"/>
      <c r="R701" s="70"/>
      <c r="S701" s="70"/>
      <c r="T701" s="70"/>
      <c r="U701" s="71"/>
      <c r="V701" s="73"/>
      <c r="W701" s="75"/>
      <c r="X701" s="117"/>
      <c r="Y701" s="111"/>
      <c r="Z701" s="111"/>
      <c r="AH701" s="18"/>
      <c r="AI701" s="18"/>
    </row>
    <row r="702" spans="1:35">
      <c r="A702" s="51"/>
      <c r="B702" s="51"/>
      <c r="C702" s="51"/>
      <c r="D702" s="51"/>
      <c r="E702" s="51"/>
      <c r="F702" s="55"/>
      <c r="G702" s="56"/>
      <c r="H702" s="57"/>
      <c r="I702" s="51"/>
      <c r="J702" s="51"/>
      <c r="K702" s="58"/>
      <c r="L702" s="59"/>
      <c r="M702" s="58"/>
      <c r="N702" s="58"/>
      <c r="O702" s="51"/>
      <c r="P702" s="51"/>
      <c r="Q702" s="37"/>
      <c r="R702" s="70"/>
      <c r="S702" s="70"/>
      <c r="T702" s="70"/>
      <c r="U702" s="71"/>
      <c r="V702" s="73"/>
      <c r="W702" s="75"/>
      <c r="X702" s="117"/>
      <c r="Y702" s="111"/>
      <c r="Z702" s="111"/>
      <c r="AH702" s="18"/>
      <c r="AI702" s="18"/>
    </row>
    <row r="703" spans="1:35">
      <c r="A703" s="51"/>
      <c r="B703" s="51"/>
      <c r="C703" s="51"/>
      <c r="D703" s="51"/>
      <c r="E703" s="51"/>
      <c r="F703" s="55"/>
      <c r="G703" s="56"/>
      <c r="H703" s="57"/>
      <c r="I703" s="51"/>
      <c r="J703" s="51"/>
      <c r="K703" s="58"/>
      <c r="L703" s="59"/>
      <c r="M703" s="58"/>
      <c r="N703" s="58"/>
      <c r="O703" s="51"/>
      <c r="P703" s="51"/>
      <c r="Q703" s="37"/>
      <c r="R703" s="70"/>
      <c r="S703" s="70"/>
      <c r="T703" s="70"/>
      <c r="U703" s="71"/>
      <c r="V703" s="73"/>
      <c r="W703" s="75"/>
      <c r="X703" s="117"/>
      <c r="Y703" s="111"/>
      <c r="Z703" s="111"/>
      <c r="AH703" s="18"/>
      <c r="AI703" s="18"/>
    </row>
    <row r="704" spans="1:35">
      <c r="A704" s="51"/>
      <c r="B704" s="51"/>
      <c r="C704" s="51"/>
      <c r="D704" s="51"/>
      <c r="E704" s="51"/>
      <c r="F704" s="55"/>
      <c r="G704" s="56"/>
      <c r="H704" s="57"/>
      <c r="I704" s="51"/>
      <c r="J704" s="51"/>
      <c r="K704" s="58"/>
      <c r="L704" s="59"/>
      <c r="M704" s="58"/>
      <c r="N704" s="58"/>
      <c r="O704" s="51"/>
      <c r="P704" s="51"/>
      <c r="Q704" s="37"/>
      <c r="R704" s="70"/>
      <c r="S704" s="70"/>
      <c r="T704" s="70"/>
      <c r="U704" s="71"/>
      <c r="V704" s="73"/>
      <c r="W704" s="75"/>
      <c r="X704" s="117"/>
      <c r="Y704" s="111"/>
      <c r="Z704" s="111"/>
      <c r="AH704" s="18"/>
      <c r="AI704" s="18"/>
    </row>
    <row r="705" spans="1:35">
      <c r="A705" s="51"/>
      <c r="B705" s="51"/>
      <c r="C705" s="51"/>
      <c r="D705" s="51"/>
      <c r="E705" s="51"/>
      <c r="F705" s="55"/>
      <c r="G705" s="56"/>
      <c r="H705" s="57"/>
      <c r="I705" s="51"/>
      <c r="J705" s="51"/>
      <c r="K705" s="58"/>
      <c r="L705" s="59"/>
      <c r="M705" s="58"/>
      <c r="N705" s="58"/>
      <c r="O705" s="51"/>
      <c r="P705" s="51"/>
      <c r="Q705" s="37"/>
      <c r="R705" s="70"/>
      <c r="S705" s="70"/>
      <c r="T705" s="70"/>
      <c r="U705" s="71"/>
      <c r="V705" s="73"/>
      <c r="W705" s="75"/>
      <c r="X705" s="117"/>
      <c r="Y705" s="111"/>
      <c r="Z705" s="111"/>
      <c r="AH705" s="18"/>
      <c r="AI705" s="18"/>
    </row>
    <row r="706" spans="1:35">
      <c r="A706" s="51"/>
      <c r="B706" s="51"/>
      <c r="C706" s="51"/>
      <c r="D706" s="51"/>
      <c r="E706" s="51"/>
      <c r="F706" s="55"/>
      <c r="G706" s="56"/>
      <c r="H706" s="57"/>
      <c r="I706" s="51"/>
      <c r="J706" s="51"/>
      <c r="K706" s="58"/>
      <c r="L706" s="59"/>
      <c r="M706" s="58"/>
      <c r="N706" s="58"/>
      <c r="O706" s="51"/>
      <c r="P706" s="51"/>
      <c r="Q706" s="37"/>
      <c r="R706" s="70"/>
      <c r="S706" s="70"/>
      <c r="T706" s="70"/>
      <c r="U706" s="71"/>
      <c r="V706" s="73"/>
      <c r="W706" s="75"/>
      <c r="X706" s="117"/>
      <c r="Y706" s="111"/>
      <c r="Z706" s="111"/>
      <c r="AH706" s="18"/>
      <c r="AI706" s="18"/>
    </row>
    <row r="707" spans="1:35">
      <c r="A707" s="51"/>
      <c r="B707" s="51"/>
      <c r="C707" s="51"/>
      <c r="D707" s="51"/>
      <c r="E707" s="51"/>
      <c r="F707" s="55"/>
      <c r="G707" s="56"/>
      <c r="H707" s="57"/>
      <c r="I707" s="51"/>
      <c r="J707" s="51"/>
      <c r="K707" s="58"/>
      <c r="L707" s="59"/>
      <c r="M707" s="58"/>
      <c r="N707" s="58"/>
      <c r="O707" s="51"/>
      <c r="P707" s="51"/>
      <c r="Q707" s="37"/>
      <c r="R707" s="70"/>
      <c r="S707" s="70"/>
      <c r="T707" s="70"/>
      <c r="U707" s="71"/>
      <c r="V707" s="73"/>
      <c r="W707" s="75"/>
      <c r="X707" s="117"/>
      <c r="Y707" s="111"/>
      <c r="Z707" s="111"/>
      <c r="AH707" s="18"/>
      <c r="AI707" s="18"/>
    </row>
    <row r="708" spans="1:35">
      <c r="A708" s="51"/>
      <c r="B708" s="51"/>
      <c r="C708" s="51"/>
      <c r="D708" s="51"/>
      <c r="E708" s="51"/>
      <c r="F708" s="55"/>
      <c r="G708" s="56"/>
      <c r="H708" s="57"/>
      <c r="I708" s="51"/>
      <c r="J708" s="51"/>
      <c r="K708" s="58"/>
      <c r="L708" s="59"/>
      <c r="M708" s="58"/>
      <c r="N708" s="58"/>
      <c r="O708" s="51"/>
      <c r="P708" s="51"/>
      <c r="Q708" s="37"/>
      <c r="R708" s="70"/>
      <c r="S708" s="70"/>
      <c r="T708" s="70"/>
      <c r="U708" s="71"/>
      <c r="V708" s="73"/>
      <c r="W708" s="75"/>
      <c r="X708" s="117"/>
      <c r="Y708" s="111"/>
      <c r="Z708" s="111"/>
      <c r="AH708" s="18"/>
      <c r="AI708" s="18"/>
    </row>
    <row r="709" spans="1:35">
      <c r="A709" s="51"/>
      <c r="B709" s="51"/>
      <c r="C709" s="51"/>
      <c r="D709" s="51"/>
      <c r="E709" s="51"/>
      <c r="F709" s="55"/>
      <c r="G709" s="56"/>
      <c r="H709" s="57"/>
      <c r="I709" s="51"/>
      <c r="J709" s="51"/>
      <c r="K709" s="58"/>
      <c r="L709" s="59"/>
      <c r="M709" s="58"/>
      <c r="N709" s="58"/>
      <c r="O709" s="51"/>
      <c r="P709" s="51"/>
      <c r="Q709" s="37"/>
      <c r="R709" s="70"/>
      <c r="S709" s="70"/>
      <c r="T709" s="70"/>
      <c r="U709" s="71"/>
      <c r="V709" s="73"/>
      <c r="W709" s="75"/>
      <c r="X709" s="117"/>
      <c r="Y709" s="111"/>
      <c r="Z709" s="111"/>
      <c r="AH709" s="18"/>
      <c r="AI709" s="18"/>
    </row>
    <row r="710" spans="1:35">
      <c r="A710" s="51"/>
      <c r="B710" s="51"/>
      <c r="C710" s="51"/>
      <c r="D710" s="51"/>
      <c r="E710" s="51"/>
      <c r="F710" s="55"/>
      <c r="G710" s="56"/>
      <c r="H710" s="57"/>
      <c r="I710" s="51"/>
      <c r="J710" s="51"/>
      <c r="K710" s="58"/>
      <c r="L710" s="59"/>
      <c r="M710" s="58"/>
      <c r="N710" s="58"/>
      <c r="O710" s="51"/>
      <c r="P710" s="51"/>
      <c r="Q710" s="37"/>
      <c r="R710" s="70"/>
      <c r="S710" s="70"/>
      <c r="T710" s="70"/>
      <c r="U710" s="71"/>
      <c r="V710" s="73"/>
      <c r="W710" s="75"/>
      <c r="X710" s="117"/>
      <c r="Y710" s="111"/>
      <c r="Z710" s="111"/>
      <c r="AH710" s="18"/>
      <c r="AI710" s="18"/>
    </row>
    <row r="711" spans="1:35">
      <c r="A711" s="51"/>
      <c r="B711" s="51"/>
      <c r="C711" s="51"/>
      <c r="D711" s="51"/>
      <c r="E711" s="51"/>
      <c r="F711" s="55"/>
      <c r="G711" s="56"/>
      <c r="H711" s="57"/>
      <c r="I711" s="51"/>
      <c r="J711" s="51"/>
      <c r="K711" s="58"/>
      <c r="L711" s="59"/>
      <c r="M711" s="58"/>
      <c r="N711" s="58"/>
      <c r="O711" s="51"/>
      <c r="P711" s="51"/>
      <c r="Q711" s="37"/>
      <c r="R711" s="70"/>
      <c r="S711" s="70"/>
      <c r="T711" s="70"/>
      <c r="U711" s="71"/>
      <c r="V711" s="73"/>
      <c r="W711" s="75"/>
      <c r="X711" s="117"/>
      <c r="Y711" s="111"/>
      <c r="Z711" s="111"/>
      <c r="AH711" s="18"/>
      <c r="AI711" s="18"/>
    </row>
    <row r="712" spans="1:35">
      <c r="A712" s="51"/>
      <c r="B712" s="51"/>
      <c r="C712" s="51"/>
      <c r="D712" s="51"/>
      <c r="E712" s="51"/>
      <c r="F712" s="55"/>
      <c r="G712" s="56"/>
      <c r="H712" s="57"/>
      <c r="I712" s="51"/>
      <c r="J712" s="51"/>
      <c r="K712" s="58"/>
      <c r="L712" s="59"/>
      <c r="M712" s="58"/>
      <c r="N712" s="58"/>
      <c r="O712" s="51"/>
      <c r="P712" s="51"/>
      <c r="Q712" s="37"/>
      <c r="R712" s="70"/>
      <c r="S712" s="70"/>
      <c r="T712" s="70"/>
      <c r="U712" s="71"/>
      <c r="V712" s="73"/>
      <c r="W712" s="75"/>
      <c r="X712" s="117"/>
      <c r="Y712" s="111"/>
      <c r="Z712" s="111"/>
      <c r="AH712" s="18"/>
      <c r="AI712" s="18"/>
    </row>
    <row r="713" spans="1:35">
      <c r="A713" s="51"/>
      <c r="B713" s="51"/>
      <c r="C713" s="51"/>
      <c r="D713" s="51"/>
      <c r="E713" s="51"/>
      <c r="F713" s="55"/>
      <c r="G713" s="56"/>
      <c r="H713" s="57"/>
      <c r="I713" s="51"/>
      <c r="J713" s="51"/>
      <c r="K713" s="58"/>
      <c r="L713" s="59"/>
      <c r="M713" s="58"/>
      <c r="N713" s="58"/>
      <c r="O713" s="51"/>
      <c r="P713" s="51"/>
      <c r="Q713" s="37"/>
      <c r="R713" s="70"/>
      <c r="S713" s="70"/>
      <c r="T713" s="70"/>
      <c r="U713" s="71"/>
      <c r="V713" s="73"/>
      <c r="W713" s="75"/>
      <c r="X713" s="117"/>
      <c r="Y713" s="111"/>
      <c r="Z713" s="111"/>
      <c r="AH713" s="18"/>
      <c r="AI713" s="18"/>
    </row>
    <row r="714" spans="1:35">
      <c r="A714" s="51"/>
      <c r="B714" s="51"/>
      <c r="C714" s="51"/>
      <c r="D714" s="51"/>
      <c r="E714" s="51"/>
      <c r="F714" s="55"/>
      <c r="G714" s="56"/>
      <c r="H714" s="57"/>
      <c r="I714" s="51"/>
      <c r="J714" s="51"/>
      <c r="K714" s="58"/>
      <c r="L714" s="59"/>
      <c r="M714" s="58"/>
      <c r="N714" s="58"/>
      <c r="O714" s="51"/>
      <c r="P714" s="51"/>
      <c r="Q714" s="37"/>
      <c r="R714" s="70"/>
      <c r="S714" s="70"/>
      <c r="T714" s="70"/>
      <c r="U714" s="71"/>
      <c r="V714" s="73"/>
      <c r="W714" s="75"/>
      <c r="X714" s="117"/>
      <c r="Y714" s="111"/>
      <c r="Z714" s="111"/>
      <c r="AH714" s="18"/>
      <c r="AI714" s="18"/>
    </row>
    <row r="715" spans="1:35">
      <c r="A715" s="51"/>
      <c r="B715" s="51"/>
      <c r="C715" s="51"/>
      <c r="D715" s="51"/>
      <c r="E715" s="51"/>
      <c r="F715" s="55"/>
      <c r="G715" s="56"/>
      <c r="H715" s="57"/>
      <c r="I715" s="51"/>
      <c r="J715" s="51"/>
      <c r="K715" s="58"/>
      <c r="L715" s="59"/>
      <c r="M715" s="58"/>
      <c r="N715" s="58"/>
      <c r="O715" s="51"/>
      <c r="P715" s="51"/>
      <c r="Q715" s="37"/>
      <c r="R715" s="70"/>
      <c r="S715" s="70"/>
      <c r="T715" s="70"/>
      <c r="U715" s="71"/>
      <c r="V715" s="73"/>
      <c r="W715" s="75"/>
      <c r="X715" s="117"/>
      <c r="Y715" s="111"/>
      <c r="Z715" s="111"/>
      <c r="AH715" s="18"/>
      <c r="AI715" s="18"/>
    </row>
    <row r="716" spans="1:35">
      <c r="A716" s="51"/>
      <c r="B716" s="51"/>
      <c r="C716" s="51"/>
      <c r="D716" s="51"/>
      <c r="E716" s="51"/>
      <c r="F716" s="55"/>
      <c r="G716" s="56"/>
      <c r="H716" s="57"/>
      <c r="I716" s="51"/>
      <c r="J716" s="51"/>
      <c r="K716" s="58"/>
      <c r="L716" s="59"/>
      <c r="M716" s="58"/>
      <c r="N716" s="58"/>
      <c r="O716" s="51"/>
      <c r="P716" s="51"/>
      <c r="Q716" s="37"/>
      <c r="R716" s="70"/>
      <c r="S716" s="70"/>
      <c r="T716" s="70"/>
      <c r="U716" s="71"/>
      <c r="V716" s="73"/>
      <c r="W716" s="75"/>
      <c r="X716" s="117"/>
      <c r="Y716" s="111"/>
      <c r="Z716" s="111"/>
      <c r="AH716" s="18"/>
      <c r="AI716" s="18"/>
    </row>
    <row r="717" spans="1:35">
      <c r="A717" s="51"/>
      <c r="B717" s="51"/>
      <c r="C717" s="51"/>
      <c r="D717" s="51"/>
      <c r="E717" s="51"/>
      <c r="F717" s="55"/>
      <c r="G717" s="56"/>
      <c r="H717" s="57"/>
      <c r="I717" s="51"/>
      <c r="J717" s="51"/>
      <c r="K717" s="58"/>
      <c r="L717" s="59"/>
      <c r="M717" s="58"/>
      <c r="N717" s="58"/>
      <c r="O717" s="51"/>
      <c r="P717" s="51"/>
      <c r="Q717" s="37"/>
      <c r="R717" s="70"/>
      <c r="S717" s="70"/>
      <c r="T717" s="70"/>
      <c r="U717" s="71"/>
      <c r="V717" s="73"/>
      <c r="W717" s="75"/>
      <c r="X717" s="117"/>
      <c r="Y717" s="111"/>
      <c r="Z717" s="111"/>
      <c r="AH717" s="18"/>
      <c r="AI717" s="18"/>
    </row>
    <row r="718" spans="1:35">
      <c r="A718" s="51"/>
      <c r="B718" s="51"/>
      <c r="C718" s="51"/>
      <c r="D718" s="51"/>
      <c r="E718" s="51"/>
      <c r="F718" s="55"/>
      <c r="G718" s="56"/>
      <c r="H718" s="57"/>
      <c r="I718" s="51"/>
      <c r="J718" s="51"/>
      <c r="K718" s="58"/>
      <c r="L718" s="59"/>
      <c r="M718" s="58"/>
      <c r="N718" s="58"/>
      <c r="O718" s="51"/>
      <c r="P718" s="51"/>
      <c r="Q718" s="37"/>
      <c r="R718" s="70"/>
      <c r="S718" s="70"/>
      <c r="T718" s="70"/>
      <c r="U718" s="71"/>
      <c r="V718" s="73"/>
      <c r="W718" s="75"/>
      <c r="X718" s="117"/>
      <c r="Y718" s="111"/>
      <c r="Z718" s="111"/>
      <c r="AH718" s="18"/>
      <c r="AI718" s="18"/>
    </row>
    <row r="719" spans="1:35">
      <c r="A719" s="51"/>
      <c r="B719" s="51"/>
      <c r="C719" s="51"/>
      <c r="D719" s="51"/>
      <c r="E719" s="51"/>
      <c r="F719" s="55"/>
      <c r="G719" s="56"/>
      <c r="H719" s="57"/>
      <c r="I719" s="51"/>
      <c r="J719" s="51"/>
      <c r="K719" s="58"/>
      <c r="L719" s="59"/>
      <c r="M719" s="58"/>
      <c r="N719" s="58"/>
      <c r="O719" s="51"/>
      <c r="P719" s="51"/>
      <c r="Q719" s="37"/>
      <c r="R719" s="70"/>
      <c r="S719" s="70"/>
      <c r="T719" s="70"/>
      <c r="U719" s="71"/>
      <c r="V719" s="73"/>
      <c r="W719" s="75"/>
      <c r="X719" s="117"/>
      <c r="Y719" s="111"/>
      <c r="Z719" s="111"/>
      <c r="AH719" s="18"/>
      <c r="AI719" s="18"/>
    </row>
    <row r="720" spans="1:35">
      <c r="A720" s="51"/>
      <c r="B720" s="51"/>
      <c r="C720" s="51"/>
      <c r="D720" s="51"/>
      <c r="E720" s="51"/>
      <c r="F720" s="55"/>
      <c r="G720" s="56"/>
      <c r="H720" s="57"/>
      <c r="I720" s="51"/>
      <c r="J720" s="51"/>
      <c r="K720" s="58"/>
      <c r="L720" s="59"/>
      <c r="M720" s="58"/>
      <c r="N720" s="58"/>
      <c r="O720" s="51"/>
      <c r="P720" s="51"/>
      <c r="Q720" s="37"/>
      <c r="R720" s="70"/>
      <c r="S720" s="70"/>
      <c r="T720" s="70"/>
      <c r="U720" s="71"/>
      <c r="V720" s="73"/>
      <c r="W720" s="75"/>
      <c r="X720" s="117"/>
      <c r="Y720" s="111"/>
      <c r="Z720" s="111"/>
      <c r="AH720" s="18"/>
      <c r="AI720" s="18"/>
    </row>
    <row r="721" spans="1:35">
      <c r="A721" s="51"/>
      <c r="B721" s="51"/>
      <c r="C721" s="51"/>
      <c r="D721" s="51"/>
      <c r="E721" s="51"/>
      <c r="F721" s="55"/>
      <c r="G721" s="56"/>
      <c r="H721" s="57"/>
      <c r="I721" s="51"/>
      <c r="J721" s="51"/>
      <c r="K721" s="58"/>
      <c r="L721" s="59"/>
      <c r="M721" s="58"/>
      <c r="N721" s="58"/>
      <c r="O721" s="51"/>
      <c r="P721" s="51"/>
      <c r="Q721" s="37"/>
      <c r="R721" s="70"/>
      <c r="S721" s="70"/>
      <c r="T721" s="70"/>
      <c r="U721" s="71"/>
      <c r="V721" s="73"/>
      <c r="W721" s="75"/>
      <c r="X721" s="117"/>
      <c r="Y721" s="111"/>
      <c r="Z721" s="111"/>
      <c r="AH721" s="18"/>
      <c r="AI721" s="18"/>
    </row>
    <row r="722" spans="1:35">
      <c r="A722" s="51"/>
      <c r="B722" s="51"/>
      <c r="C722" s="51"/>
      <c r="D722" s="51"/>
      <c r="E722" s="51"/>
      <c r="F722" s="55"/>
      <c r="G722" s="56"/>
      <c r="H722" s="57"/>
      <c r="I722" s="51"/>
      <c r="J722" s="51"/>
      <c r="K722" s="58"/>
      <c r="L722" s="59"/>
      <c r="M722" s="58"/>
      <c r="N722" s="58"/>
      <c r="O722" s="51"/>
      <c r="P722" s="51"/>
      <c r="Q722" s="37"/>
      <c r="R722" s="70"/>
      <c r="S722" s="70"/>
      <c r="T722" s="70"/>
      <c r="U722" s="71"/>
      <c r="V722" s="73"/>
      <c r="W722" s="75"/>
      <c r="X722" s="117"/>
      <c r="Y722" s="111"/>
      <c r="Z722" s="111"/>
      <c r="AH722" s="18"/>
      <c r="AI722" s="18"/>
    </row>
    <row r="723" spans="1:35">
      <c r="A723" s="51"/>
      <c r="B723" s="51"/>
      <c r="C723" s="51"/>
      <c r="D723" s="51"/>
      <c r="E723" s="51"/>
      <c r="F723" s="55"/>
      <c r="G723" s="56"/>
      <c r="H723" s="57"/>
      <c r="I723" s="51"/>
      <c r="J723" s="51"/>
      <c r="K723" s="58"/>
      <c r="L723" s="59"/>
      <c r="M723" s="58"/>
      <c r="N723" s="58"/>
      <c r="O723" s="51"/>
      <c r="P723" s="51"/>
      <c r="Q723" s="37"/>
      <c r="R723" s="70"/>
      <c r="S723" s="70"/>
      <c r="T723" s="70"/>
      <c r="U723" s="71"/>
      <c r="V723" s="73"/>
      <c r="W723" s="75"/>
      <c r="X723" s="117"/>
      <c r="Y723" s="111"/>
      <c r="Z723" s="111"/>
      <c r="AH723" s="18"/>
      <c r="AI723" s="18"/>
    </row>
    <row r="724" spans="1:35">
      <c r="A724" s="51"/>
      <c r="B724" s="51"/>
      <c r="C724" s="51"/>
      <c r="D724" s="51"/>
      <c r="E724" s="51"/>
      <c r="F724" s="55"/>
      <c r="G724" s="56"/>
      <c r="H724" s="57"/>
      <c r="I724" s="51"/>
      <c r="J724" s="51"/>
      <c r="K724" s="58"/>
      <c r="L724" s="59"/>
      <c r="M724" s="58"/>
      <c r="N724" s="58"/>
      <c r="O724" s="51"/>
      <c r="P724" s="51"/>
      <c r="Q724" s="37"/>
      <c r="R724" s="70"/>
      <c r="S724" s="70"/>
      <c r="T724" s="70"/>
      <c r="U724" s="71"/>
      <c r="V724" s="73"/>
      <c r="W724" s="75"/>
      <c r="X724" s="117"/>
      <c r="Y724" s="111"/>
      <c r="Z724" s="111"/>
      <c r="AH724" s="18"/>
      <c r="AI724" s="18"/>
    </row>
    <row r="725" spans="1:35">
      <c r="A725" s="51"/>
      <c r="B725" s="51"/>
      <c r="C725" s="51"/>
      <c r="D725" s="51"/>
      <c r="E725" s="51"/>
      <c r="F725" s="55"/>
      <c r="G725" s="56"/>
      <c r="H725" s="57"/>
      <c r="I725" s="51"/>
      <c r="J725" s="51"/>
      <c r="K725" s="58"/>
      <c r="L725" s="59"/>
      <c r="M725" s="58"/>
      <c r="N725" s="58"/>
      <c r="O725" s="51"/>
      <c r="P725" s="51"/>
      <c r="Q725" s="37"/>
      <c r="R725" s="70"/>
      <c r="S725" s="70"/>
      <c r="T725" s="70"/>
      <c r="U725" s="71"/>
      <c r="V725" s="73"/>
      <c r="W725" s="75"/>
      <c r="X725" s="117"/>
      <c r="Y725" s="111"/>
      <c r="Z725" s="111"/>
      <c r="AH725" s="18"/>
      <c r="AI725" s="18"/>
    </row>
    <row r="726" spans="1:35">
      <c r="A726" s="51"/>
      <c r="B726" s="51"/>
      <c r="C726" s="51"/>
      <c r="D726" s="51"/>
      <c r="E726" s="51"/>
      <c r="F726" s="55"/>
      <c r="G726" s="56"/>
      <c r="H726" s="57"/>
      <c r="I726" s="51"/>
      <c r="J726" s="51"/>
      <c r="K726" s="58"/>
      <c r="L726" s="59"/>
      <c r="M726" s="58"/>
      <c r="N726" s="58"/>
      <c r="O726" s="51"/>
      <c r="P726" s="51"/>
      <c r="Q726" s="37"/>
      <c r="R726" s="70"/>
      <c r="S726" s="70"/>
      <c r="T726" s="70"/>
      <c r="U726" s="71"/>
      <c r="V726" s="73"/>
      <c r="W726" s="75"/>
      <c r="X726" s="117"/>
      <c r="Y726" s="111"/>
      <c r="Z726" s="111"/>
      <c r="AH726" s="18"/>
      <c r="AI726" s="18"/>
    </row>
    <row r="727" spans="1:35">
      <c r="A727" s="51"/>
      <c r="B727" s="51"/>
      <c r="C727" s="51"/>
      <c r="D727" s="51"/>
      <c r="E727" s="51"/>
      <c r="F727" s="55"/>
      <c r="G727" s="56"/>
      <c r="H727" s="57"/>
      <c r="I727" s="51"/>
      <c r="J727" s="51"/>
      <c r="K727" s="58"/>
      <c r="L727" s="59"/>
      <c r="M727" s="58"/>
      <c r="N727" s="58"/>
      <c r="O727" s="51"/>
      <c r="P727" s="51"/>
      <c r="Q727" s="37"/>
      <c r="R727" s="70"/>
      <c r="S727" s="70"/>
      <c r="T727" s="70"/>
      <c r="U727" s="71"/>
      <c r="V727" s="73"/>
      <c r="W727" s="75"/>
      <c r="X727" s="117"/>
      <c r="Y727" s="111"/>
      <c r="Z727" s="111"/>
      <c r="AH727" s="18"/>
      <c r="AI727" s="18"/>
    </row>
    <row r="728" spans="1:35">
      <c r="A728" s="51"/>
      <c r="B728" s="51"/>
      <c r="C728" s="51"/>
      <c r="D728" s="51"/>
      <c r="E728" s="51"/>
      <c r="F728" s="55"/>
      <c r="G728" s="56"/>
      <c r="H728" s="57"/>
      <c r="I728" s="51"/>
      <c r="J728" s="51"/>
      <c r="K728" s="58"/>
      <c r="L728" s="59"/>
      <c r="M728" s="58"/>
      <c r="N728" s="58"/>
      <c r="O728" s="51"/>
      <c r="P728" s="51"/>
      <c r="Q728" s="37"/>
      <c r="R728" s="70"/>
      <c r="S728" s="70"/>
      <c r="T728" s="70"/>
      <c r="U728" s="71"/>
      <c r="V728" s="73"/>
      <c r="W728" s="75"/>
      <c r="X728" s="117"/>
      <c r="Y728" s="111"/>
      <c r="Z728" s="111"/>
      <c r="AH728" s="18"/>
      <c r="AI728" s="18"/>
    </row>
    <row r="729" spans="1:35">
      <c r="A729" s="51"/>
      <c r="B729" s="51"/>
      <c r="C729" s="51"/>
      <c r="D729" s="51"/>
      <c r="E729" s="51"/>
      <c r="F729" s="55"/>
      <c r="G729" s="56"/>
      <c r="H729" s="57"/>
      <c r="I729" s="51"/>
      <c r="J729" s="51"/>
      <c r="K729" s="58"/>
      <c r="L729" s="59"/>
      <c r="M729" s="58"/>
      <c r="N729" s="58"/>
      <c r="O729" s="51"/>
      <c r="P729" s="51"/>
      <c r="Q729" s="37"/>
      <c r="R729" s="70"/>
      <c r="S729" s="70"/>
      <c r="T729" s="70"/>
      <c r="U729" s="71"/>
      <c r="V729" s="73"/>
      <c r="W729" s="75"/>
      <c r="X729" s="117"/>
      <c r="Y729" s="111"/>
      <c r="Z729" s="111"/>
      <c r="AH729" s="18"/>
      <c r="AI729" s="18"/>
    </row>
    <row r="730" spans="1:35">
      <c r="A730" s="51"/>
      <c r="B730" s="51"/>
      <c r="C730" s="51"/>
      <c r="D730" s="51"/>
      <c r="E730" s="51"/>
      <c r="F730" s="55"/>
      <c r="G730" s="56"/>
      <c r="H730" s="57"/>
      <c r="I730" s="51"/>
      <c r="J730" s="51"/>
      <c r="K730" s="58"/>
      <c r="L730" s="59"/>
      <c r="M730" s="58"/>
      <c r="N730" s="58"/>
      <c r="O730" s="51"/>
      <c r="P730" s="51"/>
      <c r="Q730" s="37"/>
      <c r="R730" s="70"/>
      <c r="S730" s="70"/>
      <c r="T730" s="70"/>
      <c r="U730" s="71"/>
      <c r="V730" s="73"/>
      <c r="W730" s="75"/>
      <c r="X730" s="117"/>
      <c r="Y730" s="111"/>
      <c r="Z730" s="111"/>
      <c r="AH730" s="18"/>
      <c r="AI730" s="18"/>
    </row>
    <row r="731" spans="1:35">
      <c r="A731" s="51"/>
      <c r="B731" s="51"/>
      <c r="C731" s="51"/>
      <c r="D731" s="51"/>
      <c r="E731" s="51"/>
      <c r="F731" s="55"/>
      <c r="G731" s="56"/>
      <c r="H731" s="57"/>
      <c r="I731" s="51"/>
      <c r="J731" s="51"/>
      <c r="K731" s="58"/>
      <c r="L731" s="59"/>
      <c r="M731" s="58"/>
      <c r="N731" s="58"/>
      <c r="O731" s="51"/>
      <c r="P731" s="51"/>
      <c r="Q731" s="37"/>
      <c r="R731" s="70"/>
      <c r="S731" s="70"/>
      <c r="T731" s="70"/>
      <c r="U731" s="71"/>
      <c r="V731" s="73"/>
      <c r="W731" s="75"/>
      <c r="X731" s="117"/>
      <c r="Y731" s="111"/>
      <c r="Z731" s="111"/>
      <c r="AH731" s="18"/>
      <c r="AI731" s="18"/>
    </row>
    <row r="732" spans="1:35">
      <c r="A732" s="51"/>
      <c r="B732" s="51"/>
      <c r="C732" s="51"/>
      <c r="D732" s="51"/>
      <c r="E732" s="51"/>
      <c r="F732" s="55"/>
      <c r="G732" s="56"/>
      <c r="H732" s="57"/>
      <c r="I732" s="51"/>
      <c r="J732" s="51"/>
      <c r="K732" s="58"/>
      <c r="L732" s="59"/>
      <c r="M732" s="58"/>
      <c r="N732" s="58"/>
      <c r="O732" s="51"/>
      <c r="P732" s="51"/>
      <c r="Q732" s="37"/>
      <c r="R732" s="70"/>
      <c r="S732" s="70"/>
      <c r="T732" s="70"/>
      <c r="U732" s="71"/>
      <c r="V732" s="73"/>
      <c r="W732" s="75"/>
      <c r="X732" s="117"/>
      <c r="Y732" s="111"/>
      <c r="Z732" s="111"/>
      <c r="AH732" s="18"/>
      <c r="AI732" s="18"/>
    </row>
    <row r="733" spans="1:35">
      <c r="A733" s="51"/>
      <c r="B733" s="51"/>
      <c r="C733" s="51"/>
      <c r="D733" s="51"/>
      <c r="E733" s="51"/>
      <c r="F733" s="55"/>
      <c r="G733" s="56"/>
      <c r="H733" s="57"/>
      <c r="I733" s="51"/>
      <c r="J733" s="51"/>
      <c r="K733" s="58"/>
      <c r="L733" s="59"/>
      <c r="M733" s="58"/>
      <c r="N733" s="58"/>
      <c r="O733" s="51"/>
      <c r="P733" s="51"/>
      <c r="Q733" s="37"/>
      <c r="R733" s="70"/>
      <c r="S733" s="70"/>
      <c r="T733" s="70"/>
      <c r="U733" s="71"/>
      <c r="V733" s="73"/>
      <c r="W733" s="75"/>
      <c r="X733" s="117"/>
      <c r="Y733" s="111"/>
      <c r="Z733" s="111"/>
      <c r="AH733" s="18"/>
      <c r="AI733" s="18"/>
    </row>
    <row r="734" spans="1:35">
      <c r="A734" s="51"/>
      <c r="B734" s="51"/>
      <c r="C734" s="51"/>
      <c r="D734" s="51"/>
      <c r="E734" s="51"/>
      <c r="F734" s="55"/>
      <c r="G734" s="56"/>
      <c r="H734" s="57"/>
      <c r="I734" s="51"/>
      <c r="J734" s="51"/>
      <c r="K734" s="58"/>
      <c r="L734" s="59"/>
      <c r="M734" s="58"/>
      <c r="N734" s="58"/>
      <c r="O734" s="51"/>
      <c r="P734" s="51"/>
      <c r="Q734" s="37"/>
      <c r="R734" s="70"/>
      <c r="S734" s="70"/>
      <c r="T734" s="70"/>
      <c r="U734" s="71"/>
      <c r="V734" s="73"/>
      <c r="W734" s="75"/>
      <c r="X734" s="117"/>
      <c r="Y734" s="111"/>
      <c r="Z734" s="111"/>
      <c r="AH734" s="18"/>
      <c r="AI734" s="18"/>
    </row>
    <row r="735" spans="1:35">
      <c r="A735" s="51"/>
      <c r="B735" s="51"/>
      <c r="C735" s="51"/>
      <c r="D735" s="51"/>
      <c r="E735" s="51"/>
      <c r="F735" s="55"/>
      <c r="G735" s="56"/>
      <c r="H735" s="57"/>
      <c r="I735" s="51"/>
      <c r="J735" s="51"/>
      <c r="K735" s="58"/>
      <c r="L735" s="59"/>
      <c r="M735" s="58"/>
      <c r="N735" s="58"/>
      <c r="O735" s="51"/>
      <c r="P735" s="51"/>
      <c r="Q735" s="37"/>
      <c r="R735" s="70"/>
      <c r="S735" s="70"/>
      <c r="T735" s="70"/>
      <c r="U735" s="71"/>
      <c r="V735" s="73"/>
      <c r="W735" s="75"/>
      <c r="X735" s="117"/>
      <c r="Y735" s="111"/>
      <c r="Z735" s="111"/>
      <c r="AH735" s="18"/>
      <c r="AI735" s="18"/>
    </row>
    <row r="736" spans="1:35">
      <c r="A736" s="51"/>
      <c r="B736" s="51"/>
      <c r="C736" s="51"/>
      <c r="D736" s="51"/>
      <c r="E736" s="51"/>
      <c r="F736" s="55"/>
      <c r="G736" s="56"/>
      <c r="H736" s="57"/>
      <c r="I736" s="51"/>
      <c r="J736" s="51"/>
      <c r="K736" s="58"/>
      <c r="L736" s="59"/>
      <c r="M736" s="58"/>
      <c r="N736" s="58"/>
      <c r="O736" s="51"/>
      <c r="P736" s="51"/>
      <c r="Q736" s="37"/>
      <c r="R736" s="70"/>
      <c r="S736" s="70"/>
      <c r="T736" s="70"/>
      <c r="U736" s="71"/>
      <c r="V736" s="73"/>
      <c r="W736" s="75"/>
      <c r="X736" s="117"/>
      <c r="Y736" s="111"/>
      <c r="Z736" s="111"/>
      <c r="AH736" s="18"/>
      <c r="AI736" s="18"/>
    </row>
    <row r="737" spans="1:35">
      <c r="A737" s="51"/>
      <c r="B737" s="51"/>
      <c r="C737" s="51"/>
      <c r="D737" s="51"/>
      <c r="E737" s="51"/>
      <c r="F737" s="55"/>
      <c r="G737" s="56"/>
      <c r="H737" s="57"/>
      <c r="I737" s="51"/>
      <c r="J737" s="51"/>
      <c r="K737" s="58"/>
      <c r="L737" s="59"/>
      <c r="M737" s="58"/>
      <c r="N737" s="58"/>
      <c r="O737" s="51"/>
      <c r="P737" s="51"/>
      <c r="Q737" s="37"/>
      <c r="R737" s="70"/>
      <c r="S737" s="70"/>
      <c r="T737" s="70"/>
      <c r="U737" s="71"/>
      <c r="V737" s="73"/>
      <c r="W737" s="75"/>
      <c r="X737" s="117"/>
      <c r="Y737" s="111"/>
      <c r="Z737" s="111"/>
      <c r="AH737" s="18"/>
      <c r="AI737" s="18"/>
    </row>
    <row r="738" spans="1:35">
      <c r="A738" s="51"/>
      <c r="B738" s="51"/>
      <c r="C738" s="51"/>
      <c r="D738" s="51"/>
      <c r="E738" s="51"/>
      <c r="F738" s="55"/>
      <c r="G738" s="56"/>
      <c r="H738" s="57"/>
      <c r="I738" s="51"/>
      <c r="J738" s="51"/>
      <c r="K738" s="58"/>
      <c r="L738" s="59"/>
      <c r="M738" s="58"/>
      <c r="N738" s="58"/>
      <c r="O738" s="51"/>
      <c r="P738" s="51"/>
      <c r="Q738" s="37"/>
      <c r="R738" s="70"/>
      <c r="S738" s="70"/>
      <c r="T738" s="70"/>
      <c r="U738" s="71"/>
      <c r="V738" s="73"/>
      <c r="W738" s="75"/>
      <c r="X738" s="117"/>
      <c r="Y738" s="111"/>
      <c r="Z738" s="111"/>
      <c r="AH738" s="18"/>
      <c r="AI738" s="18"/>
    </row>
    <row r="739" spans="1:35">
      <c r="A739" s="51"/>
      <c r="B739" s="51"/>
      <c r="C739" s="51"/>
      <c r="D739" s="51"/>
      <c r="E739" s="51"/>
      <c r="F739" s="55"/>
      <c r="G739" s="56"/>
      <c r="H739" s="57"/>
      <c r="I739" s="51"/>
      <c r="J739" s="51"/>
      <c r="K739" s="58"/>
      <c r="L739" s="59"/>
      <c r="M739" s="58"/>
      <c r="N739" s="58"/>
      <c r="O739" s="51"/>
      <c r="P739" s="51"/>
      <c r="Q739" s="37"/>
      <c r="R739" s="70"/>
      <c r="S739" s="70"/>
      <c r="T739" s="70"/>
      <c r="U739" s="71"/>
      <c r="V739" s="73"/>
      <c r="W739" s="75"/>
      <c r="X739" s="117"/>
      <c r="Y739" s="111"/>
      <c r="Z739" s="111"/>
      <c r="AH739" s="18"/>
      <c r="AI739" s="18"/>
    </row>
    <row r="740" spans="1:35">
      <c r="A740" s="51"/>
      <c r="B740" s="51"/>
      <c r="C740" s="51"/>
      <c r="D740" s="51"/>
      <c r="E740" s="51"/>
      <c r="F740" s="55"/>
      <c r="G740" s="56"/>
      <c r="H740" s="57"/>
      <c r="I740" s="51"/>
      <c r="J740" s="51"/>
      <c r="K740" s="58"/>
      <c r="L740" s="59"/>
      <c r="M740" s="58"/>
      <c r="N740" s="58"/>
      <c r="O740" s="51"/>
      <c r="P740" s="51"/>
      <c r="Q740" s="37"/>
      <c r="R740" s="70"/>
      <c r="S740" s="70"/>
      <c r="T740" s="70"/>
      <c r="U740" s="71"/>
      <c r="V740" s="73"/>
      <c r="W740" s="75"/>
      <c r="X740" s="117"/>
      <c r="Y740" s="111"/>
      <c r="Z740" s="111"/>
      <c r="AH740" s="18"/>
      <c r="AI740" s="18"/>
    </row>
    <row r="741" spans="1:35">
      <c r="A741" s="51"/>
      <c r="B741" s="51"/>
      <c r="C741" s="51"/>
      <c r="D741" s="51"/>
      <c r="E741" s="51"/>
      <c r="F741" s="55"/>
      <c r="G741" s="56"/>
      <c r="H741" s="57"/>
      <c r="I741" s="51"/>
      <c r="J741" s="51"/>
      <c r="K741" s="58"/>
      <c r="L741" s="59"/>
      <c r="M741" s="58"/>
      <c r="N741" s="58"/>
      <c r="O741" s="51"/>
      <c r="P741" s="51"/>
      <c r="Q741" s="37"/>
      <c r="R741" s="70"/>
      <c r="S741" s="70"/>
      <c r="T741" s="70"/>
      <c r="U741" s="71"/>
      <c r="V741" s="73"/>
      <c r="W741" s="75"/>
      <c r="X741" s="117"/>
      <c r="Y741" s="111"/>
      <c r="Z741" s="111"/>
      <c r="AH741" s="18"/>
      <c r="AI741" s="18"/>
    </row>
    <row r="742" spans="1:35">
      <c r="A742" s="51"/>
      <c r="B742" s="51"/>
      <c r="C742" s="51"/>
      <c r="D742" s="51"/>
      <c r="E742" s="51"/>
      <c r="F742" s="55"/>
      <c r="G742" s="56"/>
      <c r="H742" s="57"/>
      <c r="I742" s="51"/>
      <c r="J742" s="51"/>
      <c r="K742" s="58"/>
      <c r="L742" s="59"/>
      <c r="M742" s="58"/>
      <c r="N742" s="58"/>
      <c r="O742" s="51"/>
      <c r="P742" s="51"/>
      <c r="Q742" s="37"/>
      <c r="R742" s="70"/>
      <c r="S742" s="70"/>
      <c r="T742" s="70"/>
      <c r="U742" s="71"/>
      <c r="V742" s="73"/>
      <c r="W742" s="75"/>
      <c r="X742" s="117"/>
      <c r="Y742" s="111"/>
      <c r="Z742" s="111"/>
      <c r="AH742" s="18"/>
      <c r="AI742" s="18"/>
    </row>
    <row r="743" spans="1:35">
      <c r="A743" s="51"/>
      <c r="B743" s="51"/>
      <c r="C743" s="51"/>
      <c r="D743" s="51"/>
      <c r="E743" s="51"/>
      <c r="F743" s="55"/>
      <c r="G743" s="56"/>
      <c r="H743" s="57"/>
      <c r="I743" s="51"/>
      <c r="J743" s="51"/>
      <c r="K743" s="58"/>
      <c r="L743" s="59"/>
      <c r="M743" s="58"/>
      <c r="N743" s="58"/>
      <c r="O743" s="51"/>
      <c r="P743" s="51"/>
      <c r="Q743" s="37"/>
      <c r="R743" s="70"/>
      <c r="S743" s="70"/>
      <c r="T743" s="70"/>
      <c r="U743" s="71"/>
      <c r="V743" s="73"/>
      <c r="W743" s="75"/>
      <c r="X743" s="117"/>
      <c r="Y743" s="111"/>
      <c r="Z743" s="111"/>
      <c r="AH743" s="18"/>
      <c r="AI743" s="18"/>
    </row>
    <row r="744" spans="1:35">
      <c r="A744" s="51"/>
      <c r="B744" s="51"/>
      <c r="C744" s="51"/>
      <c r="D744" s="51"/>
      <c r="E744" s="51"/>
      <c r="F744" s="55"/>
      <c r="G744" s="56"/>
      <c r="H744" s="57"/>
      <c r="I744" s="51"/>
      <c r="J744" s="51"/>
      <c r="K744" s="58"/>
      <c r="L744" s="59"/>
      <c r="M744" s="58"/>
      <c r="N744" s="58"/>
      <c r="O744" s="51"/>
      <c r="P744" s="51"/>
      <c r="Q744" s="37"/>
      <c r="R744" s="70"/>
      <c r="S744" s="70"/>
      <c r="T744" s="70"/>
      <c r="U744" s="71"/>
      <c r="V744" s="73"/>
      <c r="W744" s="75"/>
      <c r="X744" s="117"/>
      <c r="Y744" s="111"/>
      <c r="Z744" s="111"/>
      <c r="AH744" s="18"/>
      <c r="AI744" s="18"/>
    </row>
    <row r="745" spans="1:35">
      <c r="A745" s="51"/>
      <c r="B745" s="51"/>
      <c r="C745" s="51"/>
      <c r="D745" s="51"/>
      <c r="E745" s="51"/>
      <c r="F745" s="55"/>
      <c r="G745" s="56"/>
      <c r="H745" s="57"/>
      <c r="I745" s="51"/>
      <c r="J745" s="51"/>
      <c r="K745" s="58"/>
      <c r="L745" s="59"/>
      <c r="M745" s="58"/>
      <c r="N745" s="58"/>
      <c r="O745" s="51"/>
      <c r="P745" s="51"/>
      <c r="Q745" s="37"/>
      <c r="R745" s="70"/>
      <c r="S745" s="70"/>
      <c r="T745" s="70"/>
      <c r="U745" s="71"/>
      <c r="V745" s="73"/>
      <c r="W745" s="75"/>
      <c r="X745" s="117"/>
      <c r="Y745" s="111"/>
      <c r="Z745" s="111"/>
      <c r="AH745" s="18"/>
      <c r="AI745" s="18"/>
    </row>
    <row r="746" spans="1:35">
      <c r="A746" s="51"/>
      <c r="B746" s="51"/>
      <c r="C746" s="51"/>
      <c r="D746" s="51"/>
      <c r="E746" s="51"/>
      <c r="F746" s="55"/>
      <c r="G746" s="56"/>
      <c r="H746" s="57"/>
      <c r="I746" s="51"/>
      <c r="J746" s="51"/>
      <c r="K746" s="58"/>
      <c r="L746" s="59"/>
      <c r="M746" s="58"/>
      <c r="N746" s="58"/>
      <c r="O746" s="51"/>
      <c r="P746" s="51"/>
      <c r="Q746" s="37"/>
      <c r="R746" s="70"/>
      <c r="S746" s="70"/>
      <c r="T746" s="70"/>
      <c r="U746" s="71"/>
      <c r="V746" s="73"/>
      <c r="W746" s="75"/>
      <c r="X746" s="117"/>
      <c r="Y746" s="111"/>
      <c r="Z746" s="111"/>
      <c r="AH746" s="18"/>
      <c r="AI746" s="18"/>
    </row>
    <row r="747" spans="1:35">
      <c r="A747" s="51"/>
      <c r="B747" s="51"/>
      <c r="C747" s="51"/>
      <c r="D747" s="51"/>
      <c r="E747" s="51"/>
      <c r="F747" s="55"/>
      <c r="G747" s="56"/>
      <c r="H747" s="57"/>
      <c r="I747" s="51"/>
      <c r="J747" s="51"/>
      <c r="K747" s="58"/>
      <c r="L747" s="59"/>
      <c r="M747" s="58"/>
      <c r="N747" s="58"/>
      <c r="O747" s="51"/>
      <c r="P747" s="51"/>
      <c r="Q747" s="37"/>
      <c r="R747" s="70"/>
      <c r="S747" s="70"/>
      <c r="T747" s="70"/>
      <c r="U747" s="71"/>
      <c r="V747" s="73"/>
      <c r="W747" s="75"/>
      <c r="X747" s="117"/>
      <c r="Y747" s="111"/>
      <c r="Z747" s="111"/>
      <c r="AH747" s="18"/>
      <c r="AI747" s="18"/>
    </row>
    <row r="748" spans="1:35">
      <c r="A748" s="51"/>
      <c r="B748" s="51"/>
      <c r="C748" s="51"/>
      <c r="D748" s="51"/>
      <c r="E748" s="51"/>
      <c r="F748" s="55"/>
      <c r="G748" s="56"/>
      <c r="H748" s="57"/>
      <c r="I748" s="51"/>
      <c r="J748" s="51"/>
      <c r="K748" s="58"/>
      <c r="L748" s="59"/>
      <c r="M748" s="58"/>
      <c r="N748" s="58"/>
      <c r="O748" s="51"/>
      <c r="P748" s="51"/>
      <c r="Q748" s="37"/>
      <c r="R748" s="70"/>
      <c r="S748" s="70"/>
      <c r="T748" s="70"/>
      <c r="U748" s="71"/>
      <c r="V748" s="73"/>
      <c r="W748" s="75"/>
      <c r="X748" s="117"/>
      <c r="Y748" s="111"/>
      <c r="Z748" s="111"/>
      <c r="AH748" s="18"/>
      <c r="AI748" s="18"/>
    </row>
    <row r="749" spans="1:35">
      <c r="A749" s="51"/>
      <c r="B749" s="51"/>
      <c r="C749" s="51"/>
      <c r="D749" s="51"/>
      <c r="E749" s="51"/>
      <c r="F749" s="55"/>
      <c r="G749" s="56"/>
      <c r="H749" s="57"/>
      <c r="I749" s="51"/>
      <c r="J749" s="51"/>
      <c r="K749" s="58"/>
      <c r="L749" s="59"/>
      <c r="M749" s="58"/>
      <c r="N749" s="58"/>
      <c r="O749" s="51"/>
      <c r="P749" s="51"/>
      <c r="Q749" s="37"/>
      <c r="R749" s="70"/>
      <c r="S749" s="70"/>
      <c r="T749" s="70"/>
      <c r="U749" s="71"/>
      <c r="V749" s="73"/>
      <c r="W749" s="75"/>
      <c r="X749" s="117"/>
      <c r="Y749" s="111"/>
      <c r="Z749" s="111"/>
      <c r="AH749" s="18"/>
      <c r="AI749" s="18"/>
    </row>
    <row r="750" spans="1:35">
      <c r="A750" s="51"/>
      <c r="B750" s="51"/>
      <c r="C750" s="51"/>
      <c r="D750" s="51"/>
      <c r="E750" s="51"/>
      <c r="F750" s="55"/>
      <c r="G750" s="56"/>
      <c r="H750" s="57"/>
      <c r="I750" s="51"/>
      <c r="J750" s="51"/>
      <c r="K750" s="58"/>
      <c r="L750" s="59"/>
      <c r="M750" s="58"/>
      <c r="N750" s="58"/>
      <c r="O750" s="51"/>
      <c r="P750" s="51"/>
      <c r="Q750" s="37"/>
      <c r="R750" s="70"/>
      <c r="S750" s="70"/>
      <c r="T750" s="70"/>
      <c r="U750" s="71"/>
      <c r="V750" s="73"/>
      <c r="W750" s="75"/>
      <c r="X750" s="117"/>
      <c r="Y750" s="111"/>
      <c r="Z750" s="111"/>
      <c r="AH750" s="18"/>
      <c r="AI750" s="18"/>
    </row>
    <row r="751" spans="1:35">
      <c r="A751" s="51"/>
      <c r="B751" s="51"/>
      <c r="C751" s="51"/>
      <c r="D751" s="51"/>
      <c r="E751" s="51"/>
      <c r="F751" s="55"/>
      <c r="G751" s="56"/>
      <c r="H751" s="57"/>
      <c r="I751" s="51"/>
      <c r="J751" s="51"/>
      <c r="K751" s="58"/>
      <c r="L751" s="59"/>
      <c r="M751" s="58"/>
      <c r="N751" s="58"/>
      <c r="O751" s="51"/>
      <c r="P751" s="51"/>
      <c r="Q751" s="37"/>
      <c r="R751" s="70"/>
      <c r="S751" s="70"/>
      <c r="T751" s="70"/>
      <c r="U751" s="71"/>
      <c r="V751" s="73"/>
      <c r="W751" s="75"/>
      <c r="X751" s="117"/>
      <c r="Y751" s="111"/>
      <c r="Z751" s="111"/>
      <c r="AH751" s="18"/>
      <c r="AI751" s="18"/>
    </row>
    <row r="752" spans="1:35">
      <c r="A752" s="51"/>
      <c r="B752" s="51"/>
      <c r="C752" s="51"/>
      <c r="D752" s="51"/>
      <c r="E752" s="51"/>
      <c r="F752" s="55"/>
      <c r="G752" s="56"/>
      <c r="H752" s="57"/>
      <c r="I752" s="51"/>
      <c r="J752" s="51"/>
      <c r="K752" s="58"/>
      <c r="L752" s="59"/>
      <c r="M752" s="58"/>
      <c r="N752" s="58"/>
      <c r="O752" s="51"/>
      <c r="P752" s="51"/>
      <c r="Q752" s="37"/>
      <c r="R752" s="70"/>
      <c r="S752" s="70"/>
      <c r="T752" s="70"/>
      <c r="U752" s="71"/>
      <c r="V752" s="73"/>
      <c r="W752" s="75"/>
      <c r="X752" s="117"/>
      <c r="Y752" s="111"/>
      <c r="Z752" s="111"/>
      <c r="AH752" s="18"/>
      <c r="AI752" s="18"/>
    </row>
    <row r="753" spans="1:35">
      <c r="A753" s="51"/>
      <c r="B753" s="51"/>
      <c r="C753" s="51"/>
      <c r="D753" s="51"/>
      <c r="E753" s="51"/>
      <c r="F753" s="55"/>
      <c r="G753" s="56"/>
      <c r="H753" s="57"/>
      <c r="I753" s="51"/>
      <c r="J753" s="51"/>
      <c r="K753" s="58"/>
      <c r="L753" s="59"/>
      <c r="M753" s="58"/>
      <c r="N753" s="58"/>
      <c r="O753" s="51"/>
      <c r="P753" s="51"/>
      <c r="Q753" s="37"/>
      <c r="R753" s="70"/>
      <c r="S753" s="70"/>
      <c r="T753" s="70"/>
      <c r="U753" s="71"/>
      <c r="V753" s="73"/>
      <c r="W753" s="75"/>
      <c r="X753" s="117"/>
      <c r="Y753" s="111"/>
      <c r="Z753" s="111"/>
      <c r="AH753" s="18"/>
      <c r="AI753" s="18"/>
    </row>
    <row r="754" spans="1:35">
      <c r="A754" s="51"/>
      <c r="B754" s="51"/>
      <c r="C754" s="51"/>
      <c r="D754" s="51"/>
      <c r="E754" s="51"/>
      <c r="F754" s="55"/>
      <c r="G754" s="56"/>
      <c r="H754" s="57"/>
      <c r="I754" s="51"/>
      <c r="J754" s="51"/>
      <c r="K754" s="58"/>
      <c r="L754" s="59"/>
      <c r="M754" s="58"/>
      <c r="N754" s="58"/>
      <c r="O754" s="51"/>
      <c r="P754" s="51"/>
      <c r="Q754" s="37"/>
      <c r="R754" s="70"/>
      <c r="S754" s="70"/>
      <c r="T754" s="70"/>
      <c r="U754" s="71"/>
      <c r="V754" s="73"/>
      <c r="W754" s="75"/>
      <c r="X754" s="117"/>
      <c r="Y754" s="111"/>
      <c r="Z754" s="111"/>
      <c r="AH754" s="18"/>
      <c r="AI754" s="18"/>
    </row>
    <row r="755" spans="1:35">
      <c r="A755" s="51"/>
      <c r="B755" s="51"/>
      <c r="C755" s="51"/>
      <c r="D755" s="51"/>
      <c r="E755" s="51"/>
      <c r="F755" s="55"/>
      <c r="G755" s="56"/>
      <c r="H755" s="57"/>
      <c r="I755" s="51"/>
      <c r="J755" s="51"/>
      <c r="K755" s="58"/>
      <c r="L755" s="59"/>
      <c r="M755" s="58"/>
      <c r="N755" s="58"/>
      <c r="O755" s="51"/>
      <c r="P755" s="51"/>
      <c r="Q755" s="37"/>
      <c r="R755" s="70"/>
      <c r="S755" s="70"/>
      <c r="T755" s="70"/>
      <c r="U755" s="71"/>
      <c r="V755" s="73"/>
      <c r="W755" s="75"/>
      <c r="X755" s="117"/>
      <c r="Y755" s="111"/>
      <c r="Z755" s="111"/>
      <c r="AH755" s="18"/>
      <c r="AI755" s="18"/>
    </row>
    <row r="756" spans="1:35">
      <c r="A756" s="51"/>
      <c r="B756" s="51"/>
      <c r="C756" s="51"/>
      <c r="D756" s="51"/>
      <c r="E756" s="51"/>
      <c r="F756" s="55"/>
      <c r="G756" s="56"/>
      <c r="H756" s="57"/>
      <c r="I756" s="51"/>
      <c r="J756" s="51"/>
      <c r="K756" s="58"/>
      <c r="L756" s="59"/>
      <c r="M756" s="58"/>
      <c r="N756" s="58"/>
      <c r="O756" s="51"/>
      <c r="P756" s="51"/>
      <c r="Q756" s="37"/>
      <c r="R756" s="70"/>
      <c r="S756" s="70"/>
      <c r="T756" s="70"/>
      <c r="U756" s="71"/>
      <c r="V756" s="73"/>
      <c r="W756" s="75"/>
      <c r="X756" s="117"/>
      <c r="Y756" s="111"/>
      <c r="Z756" s="111"/>
      <c r="AH756" s="18"/>
      <c r="AI756" s="18"/>
    </row>
    <row r="757" spans="1:35">
      <c r="A757" s="51"/>
      <c r="B757" s="51"/>
      <c r="C757" s="51"/>
      <c r="D757" s="51"/>
      <c r="E757" s="51"/>
      <c r="F757" s="55"/>
      <c r="G757" s="56"/>
      <c r="H757" s="57"/>
      <c r="I757" s="51"/>
      <c r="J757" s="51"/>
      <c r="K757" s="58"/>
      <c r="L757" s="59"/>
      <c r="M757" s="58"/>
      <c r="N757" s="58"/>
      <c r="O757" s="51"/>
      <c r="P757" s="51"/>
      <c r="Q757" s="37"/>
      <c r="R757" s="70"/>
      <c r="S757" s="70"/>
      <c r="T757" s="70"/>
      <c r="U757" s="71"/>
      <c r="V757" s="73"/>
      <c r="W757" s="75"/>
      <c r="X757" s="117"/>
      <c r="Y757" s="111"/>
      <c r="Z757" s="111"/>
      <c r="AH757" s="18"/>
      <c r="AI757" s="18"/>
    </row>
    <row r="758" spans="1:35">
      <c r="A758" s="51"/>
      <c r="B758" s="51"/>
      <c r="C758" s="51"/>
      <c r="D758" s="51"/>
      <c r="E758" s="51"/>
      <c r="F758" s="55"/>
      <c r="G758" s="56"/>
      <c r="H758" s="57"/>
      <c r="I758" s="51"/>
      <c r="J758" s="51"/>
      <c r="K758" s="58"/>
      <c r="L758" s="59"/>
      <c r="M758" s="58"/>
      <c r="N758" s="58"/>
      <c r="O758" s="51"/>
      <c r="P758" s="51"/>
      <c r="Q758" s="37"/>
      <c r="R758" s="70"/>
      <c r="S758" s="70"/>
      <c r="T758" s="70"/>
      <c r="U758" s="71"/>
      <c r="V758" s="73"/>
      <c r="W758" s="75"/>
      <c r="X758" s="117"/>
      <c r="Y758" s="111"/>
      <c r="Z758" s="111"/>
      <c r="AH758" s="18"/>
      <c r="AI758" s="18"/>
    </row>
    <row r="759" spans="1:35">
      <c r="A759" s="51"/>
      <c r="B759" s="51"/>
      <c r="C759" s="51"/>
      <c r="D759" s="51"/>
      <c r="E759" s="51"/>
      <c r="F759" s="55"/>
      <c r="G759" s="56"/>
      <c r="H759" s="57"/>
      <c r="I759" s="51"/>
      <c r="J759" s="51"/>
      <c r="K759" s="58"/>
      <c r="L759" s="59"/>
      <c r="M759" s="58"/>
      <c r="N759" s="58"/>
      <c r="O759" s="51"/>
      <c r="P759" s="51"/>
      <c r="Q759" s="37"/>
      <c r="R759" s="70"/>
      <c r="S759" s="70"/>
      <c r="T759" s="70"/>
      <c r="U759" s="71"/>
      <c r="V759" s="73"/>
      <c r="W759" s="75"/>
      <c r="X759" s="117"/>
      <c r="Y759" s="111"/>
      <c r="Z759" s="111"/>
      <c r="AH759" s="18"/>
      <c r="AI759" s="18"/>
    </row>
    <row r="760" spans="1:35">
      <c r="A760" s="51"/>
      <c r="B760" s="51"/>
      <c r="C760" s="51"/>
      <c r="D760" s="51"/>
      <c r="E760" s="51"/>
      <c r="F760" s="55"/>
      <c r="G760" s="56"/>
      <c r="H760" s="57"/>
      <c r="I760" s="51"/>
      <c r="J760" s="51"/>
      <c r="K760" s="58"/>
      <c r="L760" s="59"/>
      <c r="M760" s="58"/>
      <c r="N760" s="58"/>
      <c r="O760" s="51"/>
      <c r="P760" s="51"/>
      <c r="Q760" s="37"/>
      <c r="R760" s="70"/>
      <c r="S760" s="70"/>
      <c r="T760" s="70"/>
      <c r="U760" s="71"/>
      <c r="V760" s="73"/>
      <c r="W760" s="75"/>
      <c r="X760" s="117"/>
      <c r="Y760" s="111"/>
      <c r="Z760" s="111"/>
      <c r="AH760" s="18"/>
      <c r="AI760" s="18"/>
    </row>
    <row r="761" spans="1:35">
      <c r="A761" s="51"/>
      <c r="B761" s="51"/>
      <c r="C761" s="51"/>
      <c r="D761" s="51"/>
      <c r="E761" s="51"/>
      <c r="F761" s="55"/>
      <c r="G761" s="56"/>
      <c r="H761" s="57"/>
      <c r="I761" s="51"/>
      <c r="J761" s="51"/>
      <c r="K761" s="58"/>
      <c r="L761" s="59"/>
      <c r="M761" s="58"/>
      <c r="N761" s="58"/>
      <c r="O761" s="51"/>
      <c r="P761" s="51"/>
      <c r="Q761" s="37"/>
      <c r="R761" s="70"/>
      <c r="S761" s="70"/>
      <c r="T761" s="70"/>
      <c r="U761" s="71"/>
      <c r="V761" s="73"/>
      <c r="W761" s="75"/>
      <c r="X761" s="117"/>
      <c r="Y761" s="111"/>
      <c r="Z761" s="111"/>
      <c r="AH761" s="18"/>
      <c r="AI761" s="18"/>
    </row>
    <row r="762" spans="1:35">
      <c r="A762" s="51"/>
      <c r="B762" s="51"/>
      <c r="C762" s="51"/>
      <c r="D762" s="51"/>
      <c r="E762" s="51"/>
      <c r="F762" s="55"/>
      <c r="G762" s="56"/>
      <c r="H762" s="57"/>
      <c r="I762" s="51"/>
      <c r="J762" s="51"/>
      <c r="K762" s="58"/>
      <c r="L762" s="59"/>
      <c r="M762" s="58"/>
      <c r="N762" s="58"/>
      <c r="O762" s="51"/>
      <c r="P762" s="51"/>
      <c r="Q762" s="37"/>
      <c r="R762" s="70"/>
      <c r="S762" s="70"/>
      <c r="T762" s="70"/>
      <c r="U762" s="71"/>
      <c r="V762" s="73"/>
      <c r="W762" s="75"/>
      <c r="X762" s="117"/>
      <c r="Y762" s="111"/>
      <c r="Z762" s="111"/>
      <c r="AH762" s="18"/>
      <c r="AI762" s="18"/>
    </row>
    <row r="763" spans="1:35">
      <c r="A763" s="51"/>
      <c r="B763" s="51"/>
      <c r="C763" s="51"/>
      <c r="D763" s="51"/>
      <c r="E763" s="51"/>
      <c r="F763" s="55"/>
      <c r="G763" s="56"/>
      <c r="H763" s="57"/>
      <c r="I763" s="51"/>
      <c r="J763" s="51"/>
      <c r="K763" s="58"/>
      <c r="L763" s="59"/>
      <c r="M763" s="58"/>
      <c r="N763" s="58"/>
      <c r="O763" s="51"/>
      <c r="P763" s="51"/>
      <c r="Q763" s="37"/>
      <c r="R763" s="70"/>
      <c r="S763" s="70"/>
      <c r="T763" s="70"/>
      <c r="U763" s="71"/>
      <c r="V763" s="73"/>
      <c r="W763" s="75"/>
      <c r="X763" s="117"/>
      <c r="Y763" s="111"/>
      <c r="Z763" s="111"/>
      <c r="AH763" s="18"/>
      <c r="AI763" s="18"/>
    </row>
    <row r="764" spans="1:35">
      <c r="A764" s="51"/>
      <c r="B764" s="51"/>
      <c r="C764" s="51"/>
      <c r="D764" s="51"/>
      <c r="E764" s="51"/>
      <c r="F764" s="55"/>
      <c r="G764" s="56"/>
      <c r="H764" s="57"/>
      <c r="I764" s="51"/>
      <c r="J764" s="51"/>
      <c r="K764" s="58"/>
      <c r="L764" s="59"/>
      <c r="M764" s="58"/>
      <c r="N764" s="58"/>
      <c r="O764" s="51"/>
      <c r="P764" s="51"/>
      <c r="Q764" s="37"/>
      <c r="R764" s="70"/>
      <c r="S764" s="70"/>
      <c r="T764" s="70"/>
      <c r="U764" s="71"/>
      <c r="V764" s="73"/>
      <c r="W764" s="75"/>
      <c r="X764" s="117"/>
      <c r="Y764" s="111"/>
      <c r="Z764" s="111"/>
      <c r="AH764" s="18"/>
      <c r="AI764" s="18"/>
    </row>
    <row r="765" spans="1:35">
      <c r="A765" s="51"/>
      <c r="B765" s="51"/>
      <c r="C765" s="51"/>
      <c r="D765" s="51"/>
      <c r="E765" s="51"/>
      <c r="F765" s="55"/>
      <c r="G765" s="56"/>
      <c r="H765" s="57"/>
      <c r="I765" s="51"/>
      <c r="J765" s="51"/>
      <c r="K765" s="58"/>
      <c r="L765" s="59"/>
      <c r="M765" s="58"/>
      <c r="N765" s="58"/>
      <c r="O765" s="51"/>
      <c r="P765" s="51"/>
      <c r="Q765" s="37"/>
      <c r="R765" s="70"/>
      <c r="S765" s="70"/>
      <c r="T765" s="70"/>
      <c r="U765" s="71"/>
      <c r="V765" s="73"/>
      <c r="W765" s="75"/>
      <c r="X765" s="117"/>
      <c r="Y765" s="111"/>
      <c r="Z765" s="111"/>
      <c r="AH765" s="18"/>
      <c r="AI765" s="18"/>
    </row>
    <row r="766" spans="1:35">
      <c r="A766" s="51"/>
      <c r="B766" s="51"/>
      <c r="C766" s="51"/>
      <c r="D766" s="51"/>
      <c r="E766" s="51"/>
      <c r="F766" s="55"/>
      <c r="G766" s="56"/>
      <c r="H766" s="57"/>
      <c r="I766" s="51"/>
      <c r="J766" s="51"/>
      <c r="K766" s="58"/>
      <c r="L766" s="59"/>
      <c r="M766" s="58"/>
      <c r="N766" s="58"/>
      <c r="O766" s="51"/>
      <c r="P766" s="51"/>
      <c r="Q766" s="37"/>
      <c r="R766" s="70"/>
      <c r="S766" s="70"/>
      <c r="T766" s="70"/>
      <c r="U766" s="71"/>
      <c r="V766" s="73"/>
      <c r="W766" s="75"/>
      <c r="X766" s="117"/>
      <c r="Y766" s="111"/>
      <c r="Z766" s="111"/>
      <c r="AH766" s="18"/>
      <c r="AI766" s="18"/>
    </row>
    <row r="767" spans="1:35">
      <c r="A767" s="51"/>
      <c r="B767" s="51"/>
      <c r="C767" s="51"/>
      <c r="D767" s="51"/>
      <c r="E767" s="51"/>
      <c r="F767" s="55"/>
      <c r="G767" s="56"/>
      <c r="H767" s="57"/>
      <c r="I767" s="51"/>
      <c r="J767" s="51"/>
      <c r="K767" s="58"/>
      <c r="L767" s="59"/>
      <c r="M767" s="58"/>
      <c r="N767" s="58"/>
      <c r="O767" s="51"/>
      <c r="P767" s="51"/>
      <c r="Q767" s="37"/>
      <c r="R767" s="70"/>
      <c r="S767" s="70"/>
      <c r="T767" s="70"/>
      <c r="U767" s="71"/>
      <c r="V767" s="73"/>
      <c r="W767" s="75"/>
      <c r="X767" s="117"/>
      <c r="Y767" s="111"/>
      <c r="Z767" s="111"/>
      <c r="AH767" s="18"/>
      <c r="AI767" s="18"/>
    </row>
    <row r="768" spans="1:35">
      <c r="A768" s="51"/>
      <c r="B768" s="51"/>
      <c r="C768" s="51"/>
      <c r="D768" s="51"/>
      <c r="E768" s="51"/>
      <c r="F768" s="55"/>
      <c r="G768" s="56"/>
      <c r="H768" s="57"/>
      <c r="I768" s="51"/>
      <c r="J768" s="51"/>
      <c r="K768" s="58"/>
      <c r="L768" s="59"/>
      <c r="M768" s="58"/>
      <c r="N768" s="58"/>
      <c r="O768" s="51"/>
      <c r="P768" s="51"/>
      <c r="Q768" s="37"/>
      <c r="R768" s="70"/>
      <c r="S768" s="70"/>
      <c r="T768" s="70"/>
      <c r="U768" s="71"/>
      <c r="V768" s="73"/>
      <c r="W768" s="75"/>
      <c r="X768" s="117"/>
      <c r="Y768" s="111"/>
      <c r="Z768" s="111"/>
      <c r="AH768" s="18"/>
      <c r="AI768" s="18"/>
    </row>
    <row r="769" spans="1:35">
      <c r="A769" s="51"/>
      <c r="B769" s="51"/>
      <c r="C769" s="54"/>
      <c r="D769" s="51"/>
      <c r="E769" s="51"/>
      <c r="F769" s="55"/>
      <c r="G769" s="56"/>
      <c r="H769" s="57"/>
      <c r="I769" s="51"/>
      <c r="J769" s="51"/>
      <c r="K769" s="58"/>
      <c r="L769" s="59"/>
      <c r="M769" s="58"/>
      <c r="N769" s="58"/>
      <c r="O769" s="51"/>
      <c r="P769" s="51"/>
      <c r="Q769" s="37"/>
      <c r="R769" s="70"/>
      <c r="S769" s="70"/>
      <c r="T769" s="70"/>
      <c r="U769" s="71"/>
      <c r="V769" s="73"/>
      <c r="W769" s="75"/>
      <c r="X769" s="117"/>
      <c r="Y769" s="111"/>
      <c r="Z769" s="111"/>
      <c r="AH769" s="18"/>
      <c r="AI769" s="18"/>
    </row>
    <row r="770" spans="1:35">
      <c r="A770" s="51"/>
      <c r="B770" s="51"/>
      <c r="C770" s="51"/>
      <c r="D770" s="51"/>
      <c r="E770" s="51"/>
      <c r="F770" s="55"/>
      <c r="G770" s="56"/>
      <c r="H770" s="57"/>
      <c r="I770" s="51"/>
      <c r="J770" s="51"/>
      <c r="K770" s="58"/>
      <c r="L770" s="59"/>
      <c r="M770" s="58"/>
      <c r="N770" s="58"/>
      <c r="O770" s="51"/>
      <c r="P770" s="51"/>
      <c r="Q770" s="37"/>
      <c r="R770" s="70"/>
      <c r="S770" s="70"/>
      <c r="T770" s="70"/>
      <c r="U770" s="71"/>
      <c r="V770" s="73"/>
      <c r="W770" s="75"/>
      <c r="X770" s="117"/>
      <c r="Y770" s="111"/>
      <c r="Z770" s="111"/>
      <c r="AH770" s="18"/>
      <c r="AI770" s="18"/>
    </row>
    <row r="771" spans="1:35">
      <c r="A771" s="51"/>
      <c r="B771" s="51"/>
      <c r="C771" s="51"/>
      <c r="D771" s="51"/>
      <c r="E771" s="51"/>
      <c r="F771" s="55"/>
      <c r="G771" s="56"/>
      <c r="H771" s="57"/>
      <c r="I771" s="51"/>
      <c r="J771" s="51"/>
      <c r="K771" s="58"/>
      <c r="L771" s="59"/>
      <c r="M771" s="58"/>
      <c r="N771" s="58"/>
      <c r="O771" s="51"/>
      <c r="P771" s="51"/>
      <c r="Q771" s="37"/>
      <c r="R771" s="70"/>
      <c r="S771" s="70"/>
      <c r="T771" s="70"/>
      <c r="U771" s="71"/>
      <c r="V771" s="73"/>
      <c r="W771" s="75"/>
      <c r="X771" s="117"/>
      <c r="Y771" s="111"/>
      <c r="Z771" s="111"/>
      <c r="AH771" s="18"/>
      <c r="AI771" s="18"/>
    </row>
    <row r="772" spans="1:35">
      <c r="A772" s="51"/>
      <c r="B772" s="51"/>
      <c r="C772" s="51"/>
      <c r="D772" s="51"/>
      <c r="E772" s="51"/>
      <c r="F772" s="55"/>
      <c r="G772" s="56"/>
      <c r="H772" s="57"/>
      <c r="I772" s="51"/>
      <c r="J772" s="51"/>
      <c r="K772" s="58"/>
      <c r="L772" s="59"/>
      <c r="M772" s="58"/>
      <c r="N772" s="58"/>
      <c r="O772" s="51"/>
      <c r="P772" s="51"/>
      <c r="Q772" s="37"/>
      <c r="R772" s="70"/>
      <c r="S772" s="70"/>
      <c r="T772" s="70"/>
      <c r="U772" s="71"/>
      <c r="V772" s="73"/>
      <c r="W772" s="75"/>
      <c r="X772" s="117"/>
      <c r="Y772" s="111"/>
      <c r="Z772" s="111"/>
      <c r="AH772" s="18"/>
      <c r="AI772" s="18"/>
    </row>
    <row r="773" spans="1:35">
      <c r="A773" s="51"/>
      <c r="B773" s="51"/>
      <c r="C773" s="51"/>
      <c r="D773" s="51"/>
      <c r="E773" s="51"/>
      <c r="F773" s="55"/>
      <c r="G773" s="56"/>
      <c r="H773" s="57"/>
      <c r="I773" s="51"/>
      <c r="J773" s="51"/>
      <c r="K773" s="58"/>
      <c r="L773" s="59"/>
      <c r="M773" s="58"/>
      <c r="N773" s="58"/>
      <c r="O773" s="51"/>
      <c r="P773" s="51"/>
      <c r="Q773" s="37"/>
      <c r="R773" s="70"/>
      <c r="S773" s="70"/>
      <c r="T773" s="70"/>
      <c r="U773" s="71"/>
      <c r="V773" s="73"/>
      <c r="W773" s="75"/>
      <c r="X773" s="117"/>
      <c r="Y773" s="111"/>
      <c r="Z773" s="111"/>
      <c r="AH773" s="18"/>
      <c r="AI773" s="18"/>
    </row>
    <row r="774" spans="1:35">
      <c r="A774" s="51"/>
      <c r="B774" s="51"/>
      <c r="C774" s="51"/>
      <c r="D774" s="51"/>
      <c r="E774" s="51"/>
      <c r="F774" s="55"/>
      <c r="G774" s="56"/>
      <c r="H774" s="57"/>
      <c r="I774" s="51"/>
      <c r="J774" s="51"/>
      <c r="K774" s="58"/>
      <c r="L774" s="59"/>
      <c r="M774" s="58"/>
      <c r="N774" s="58"/>
      <c r="O774" s="51"/>
      <c r="P774" s="51"/>
      <c r="Q774" s="37"/>
      <c r="R774" s="70"/>
      <c r="S774" s="70"/>
      <c r="T774" s="70"/>
      <c r="U774" s="71"/>
      <c r="V774" s="73"/>
      <c r="W774" s="75"/>
      <c r="X774" s="117"/>
      <c r="Y774" s="111"/>
      <c r="Z774" s="111"/>
      <c r="AH774" s="18"/>
      <c r="AI774" s="18"/>
    </row>
    <row r="775" spans="1:35">
      <c r="A775" s="51"/>
      <c r="B775" s="51"/>
      <c r="C775" s="51"/>
      <c r="D775" s="51"/>
      <c r="E775" s="51"/>
      <c r="F775" s="55"/>
      <c r="G775" s="56"/>
      <c r="H775" s="57"/>
      <c r="I775" s="51"/>
      <c r="J775" s="51"/>
      <c r="K775" s="58"/>
      <c r="L775" s="59"/>
      <c r="M775" s="58"/>
      <c r="N775" s="58"/>
      <c r="O775" s="51"/>
      <c r="P775" s="51"/>
      <c r="Q775" s="37"/>
      <c r="R775" s="70"/>
      <c r="S775" s="70"/>
      <c r="T775" s="70"/>
      <c r="U775" s="71"/>
      <c r="V775" s="73"/>
      <c r="W775" s="75"/>
      <c r="X775" s="117"/>
      <c r="Y775" s="111"/>
      <c r="Z775" s="111"/>
      <c r="AH775" s="18"/>
      <c r="AI775" s="18"/>
    </row>
    <row r="776" spans="1:35">
      <c r="A776" s="51"/>
      <c r="B776" s="51"/>
      <c r="C776" s="51"/>
      <c r="D776" s="51"/>
      <c r="E776" s="51"/>
      <c r="F776" s="55"/>
      <c r="G776" s="56"/>
      <c r="H776" s="57"/>
      <c r="I776" s="51"/>
      <c r="J776" s="51"/>
      <c r="K776" s="58"/>
      <c r="L776" s="59"/>
      <c r="M776" s="58"/>
      <c r="N776" s="58"/>
      <c r="O776" s="51"/>
      <c r="P776" s="51"/>
      <c r="Q776" s="37"/>
      <c r="R776" s="70"/>
      <c r="S776" s="70"/>
      <c r="T776" s="70"/>
      <c r="U776" s="71"/>
      <c r="V776" s="73"/>
      <c r="W776" s="75"/>
      <c r="X776" s="117"/>
      <c r="Y776" s="111"/>
      <c r="Z776" s="111"/>
      <c r="AH776" s="18"/>
      <c r="AI776" s="18"/>
    </row>
    <row r="777" spans="1:35">
      <c r="A777" s="51"/>
      <c r="B777" s="51"/>
      <c r="C777" s="51"/>
      <c r="D777" s="51"/>
      <c r="E777" s="51"/>
      <c r="F777" s="55"/>
      <c r="G777" s="56"/>
      <c r="H777" s="57"/>
      <c r="I777" s="51"/>
      <c r="J777" s="51"/>
      <c r="K777" s="58"/>
      <c r="L777" s="59"/>
      <c r="M777" s="58"/>
      <c r="N777" s="58"/>
      <c r="O777" s="51"/>
      <c r="P777" s="51"/>
      <c r="Q777" s="37"/>
      <c r="R777" s="70"/>
      <c r="S777" s="70"/>
      <c r="T777" s="70"/>
      <c r="U777" s="71"/>
      <c r="V777" s="73"/>
      <c r="W777" s="75"/>
      <c r="X777" s="117"/>
      <c r="Y777" s="111"/>
      <c r="Z777" s="111"/>
      <c r="AH777" s="18"/>
      <c r="AI777" s="18"/>
    </row>
    <row r="778" spans="1:35">
      <c r="A778" s="51"/>
      <c r="B778" s="51"/>
      <c r="C778" s="51"/>
      <c r="D778" s="51"/>
      <c r="E778" s="51"/>
      <c r="F778" s="55"/>
      <c r="G778" s="56"/>
      <c r="H778" s="57"/>
      <c r="I778" s="51"/>
      <c r="J778" s="51"/>
      <c r="K778" s="58"/>
      <c r="L778" s="59"/>
      <c r="M778" s="58"/>
      <c r="N778" s="58"/>
      <c r="O778" s="51"/>
      <c r="P778" s="51"/>
      <c r="Q778" s="37"/>
      <c r="R778" s="70"/>
      <c r="S778" s="70"/>
      <c r="T778" s="70"/>
      <c r="U778" s="71"/>
      <c r="V778" s="73"/>
      <c r="W778" s="75"/>
      <c r="X778" s="117"/>
      <c r="Y778" s="111"/>
      <c r="Z778" s="111"/>
      <c r="AH778" s="18"/>
      <c r="AI778" s="18"/>
    </row>
    <row r="779" spans="1:35">
      <c r="A779" s="51"/>
      <c r="B779" s="51"/>
      <c r="C779" s="51"/>
      <c r="D779" s="51"/>
      <c r="E779" s="51"/>
      <c r="F779" s="55"/>
      <c r="G779" s="56"/>
      <c r="H779" s="57"/>
      <c r="I779" s="51"/>
      <c r="J779" s="51"/>
      <c r="K779" s="58"/>
      <c r="L779" s="59"/>
      <c r="M779" s="58"/>
      <c r="N779" s="58"/>
      <c r="O779" s="51"/>
      <c r="P779" s="51"/>
      <c r="Q779" s="37"/>
      <c r="R779" s="70"/>
      <c r="S779" s="70"/>
      <c r="T779" s="70"/>
      <c r="U779" s="71"/>
      <c r="V779" s="73"/>
      <c r="W779" s="75"/>
      <c r="X779" s="117"/>
      <c r="Y779" s="111"/>
      <c r="Z779" s="111"/>
      <c r="AH779" s="18"/>
      <c r="AI779" s="18"/>
    </row>
    <row r="780" spans="1:35">
      <c r="A780" s="51"/>
      <c r="B780" s="51"/>
      <c r="C780" s="51"/>
      <c r="D780" s="51"/>
      <c r="E780" s="51"/>
      <c r="F780" s="55"/>
      <c r="G780" s="56"/>
      <c r="H780" s="57"/>
      <c r="I780" s="51"/>
      <c r="J780" s="51"/>
      <c r="K780" s="58"/>
      <c r="L780" s="59"/>
      <c r="M780" s="58"/>
      <c r="N780" s="58"/>
      <c r="O780" s="51"/>
      <c r="P780" s="51"/>
      <c r="Q780" s="37"/>
      <c r="R780" s="70"/>
      <c r="S780" s="70"/>
      <c r="T780" s="70"/>
      <c r="U780" s="71"/>
      <c r="V780" s="73"/>
      <c r="W780" s="75"/>
      <c r="X780" s="117"/>
      <c r="Y780" s="111"/>
      <c r="Z780" s="111"/>
      <c r="AH780" s="18"/>
      <c r="AI780" s="18"/>
    </row>
    <row r="781" spans="1:35">
      <c r="A781" s="51"/>
      <c r="B781" s="51"/>
      <c r="C781" s="51"/>
      <c r="D781" s="51"/>
      <c r="E781" s="51"/>
      <c r="F781" s="55"/>
      <c r="G781" s="56"/>
      <c r="H781" s="57"/>
      <c r="I781" s="51"/>
      <c r="J781" s="51"/>
      <c r="K781" s="58"/>
      <c r="L781" s="59"/>
      <c r="M781" s="58"/>
      <c r="N781" s="58"/>
      <c r="O781" s="51"/>
      <c r="P781" s="51"/>
      <c r="Q781" s="37"/>
      <c r="R781" s="70"/>
      <c r="S781" s="70"/>
      <c r="T781" s="70"/>
      <c r="U781" s="71"/>
      <c r="V781" s="73"/>
      <c r="W781" s="75"/>
      <c r="X781" s="117"/>
      <c r="Y781" s="111"/>
      <c r="Z781" s="111"/>
      <c r="AH781" s="18"/>
      <c r="AI781" s="18"/>
    </row>
    <row r="782" spans="1:35">
      <c r="A782" s="51"/>
      <c r="B782" s="51"/>
      <c r="C782" s="51"/>
      <c r="D782" s="51"/>
      <c r="E782" s="51"/>
      <c r="F782" s="55"/>
      <c r="G782" s="56"/>
      <c r="H782" s="57"/>
      <c r="I782" s="51"/>
      <c r="J782" s="51"/>
      <c r="K782" s="58"/>
      <c r="L782" s="59"/>
      <c r="M782" s="58"/>
      <c r="N782" s="58"/>
      <c r="O782" s="51"/>
      <c r="P782" s="51"/>
      <c r="Q782" s="37"/>
      <c r="R782" s="70"/>
      <c r="S782" s="70"/>
      <c r="T782" s="70"/>
      <c r="U782" s="71"/>
      <c r="V782" s="73"/>
      <c r="W782" s="75"/>
      <c r="X782" s="117"/>
      <c r="Y782" s="111"/>
      <c r="Z782" s="111"/>
      <c r="AH782" s="18"/>
      <c r="AI782" s="18"/>
    </row>
    <row r="783" spans="1:35">
      <c r="A783" s="51"/>
      <c r="B783" s="51"/>
      <c r="C783" s="51"/>
      <c r="D783" s="51"/>
      <c r="E783" s="51"/>
      <c r="F783" s="55"/>
      <c r="G783" s="56"/>
      <c r="H783" s="57"/>
      <c r="I783" s="51"/>
      <c r="J783" s="51"/>
      <c r="K783" s="58"/>
      <c r="L783" s="59"/>
      <c r="M783" s="58"/>
      <c r="N783" s="58"/>
      <c r="O783" s="51"/>
      <c r="P783" s="51"/>
      <c r="Q783" s="37"/>
      <c r="R783" s="70"/>
      <c r="S783" s="70"/>
      <c r="T783" s="70"/>
      <c r="U783" s="71"/>
      <c r="V783" s="73"/>
      <c r="W783" s="75"/>
      <c r="X783" s="117"/>
      <c r="Y783" s="111"/>
      <c r="Z783" s="111"/>
      <c r="AH783" s="18"/>
      <c r="AI783" s="18"/>
    </row>
    <row r="784" spans="1:35">
      <c r="A784" s="51"/>
      <c r="B784" s="51"/>
      <c r="C784" s="51"/>
      <c r="D784" s="51"/>
      <c r="E784" s="51"/>
      <c r="F784" s="55"/>
      <c r="G784" s="56"/>
      <c r="H784" s="57"/>
      <c r="I784" s="51"/>
      <c r="J784" s="51"/>
      <c r="K784" s="58"/>
      <c r="L784" s="59"/>
      <c r="M784" s="58"/>
      <c r="N784" s="58"/>
      <c r="O784" s="51"/>
      <c r="P784" s="51"/>
      <c r="Q784" s="37"/>
      <c r="R784" s="70"/>
      <c r="S784" s="70"/>
      <c r="T784" s="70"/>
      <c r="U784" s="71"/>
      <c r="V784" s="73"/>
      <c r="W784" s="75"/>
      <c r="X784" s="117"/>
      <c r="Y784" s="111"/>
      <c r="Z784" s="111"/>
      <c r="AH784" s="18"/>
      <c r="AI784" s="18"/>
    </row>
    <row r="785" spans="1:35">
      <c r="A785" s="51"/>
      <c r="B785" s="51"/>
      <c r="C785" s="51"/>
      <c r="D785" s="51"/>
      <c r="E785" s="51"/>
      <c r="F785" s="55"/>
      <c r="G785" s="56"/>
      <c r="H785" s="57"/>
      <c r="I785" s="51"/>
      <c r="J785" s="51"/>
      <c r="K785" s="58"/>
      <c r="L785" s="59"/>
      <c r="M785" s="58"/>
      <c r="N785" s="58"/>
      <c r="O785" s="51"/>
      <c r="P785" s="51"/>
      <c r="Q785" s="37"/>
      <c r="R785" s="70"/>
      <c r="S785" s="70"/>
      <c r="T785" s="70"/>
      <c r="U785" s="71"/>
      <c r="V785" s="73"/>
      <c r="W785" s="75"/>
      <c r="X785" s="117"/>
      <c r="Y785" s="111"/>
      <c r="Z785" s="111"/>
      <c r="AH785" s="18"/>
      <c r="AI785" s="18"/>
    </row>
    <row r="786" spans="1:35">
      <c r="A786" s="51"/>
      <c r="B786" s="51"/>
      <c r="C786" s="51"/>
      <c r="D786" s="51"/>
      <c r="E786" s="51"/>
      <c r="F786" s="55"/>
      <c r="G786" s="56"/>
      <c r="H786" s="57"/>
      <c r="I786" s="51"/>
      <c r="J786" s="51"/>
      <c r="K786" s="58"/>
      <c r="L786" s="59"/>
      <c r="M786" s="58"/>
      <c r="N786" s="58"/>
      <c r="O786" s="51"/>
      <c r="P786" s="51"/>
      <c r="Q786" s="37"/>
      <c r="R786" s="70"/>
      <c r="S786" s="70"/>
      <c r="T786" s="70"/>
      <c r="U786" s="71"/>
      <c r="V786" s="73"/>
      <c r="W786" s="75"/>
      <c r="X786" s="117"/>
      <c r="Y786" s="111"/>
      <c r="Z786" s="111"/>
      <c r="AH786" s="18"/>
      <c r="AI786" s="18"/>
    </row>
    <row r="787" spans="1:35">
      <c r="A787" s="51"/>
      <c r="B787" s="51"/>
      <c r="C787" s="51"/>
      <c r="D787" s="51"/>
      <c r="E787" s="51"/>
      <c r="F787" s="55"/>
      <c r="G787" s="56"/>
      <c r="H787" s="57"/>
      <c r="I787" s="51"/>
      <c r="J787" s="51"/>
      <c r="K787" s="58"/>
      <c r="L787" s="59"/>
      <c r="M787" s="58"/>
      <c r="N787" s="58"/>
      <c r="O787" s="51"/>
      <c r="P787" s="51"/>
      <c r="Q787" s="37"/>
      <c r="R787" s="70"/>
      <c r="S787" s="70"/>
      <c r="T787" s="70"/>
      <c r="U787" s="71"/>
      <c r="V787" s="73"/>
      <c r="W787" s="75"/>
      <c r="X787" s="117"/>
      <c r="Y787" s="111"/>
      <c r="Z787" s="111"/>
      <c r="AH787" s="18"/>
      <c r="AI787" s="18"/>
    </row>
    <row r="788" spans="1:35">
      <c r="A788" s="51"/>
      <c r="B788" s="51"/>
      <c r="C788" s="51"/>
      <c r="D788" s="51"/>
      <c r="E788" s="51"/>
      <c r="F788" s="55"/>
      <c r="G788" s="56"/>
      <c r="H788" s="57"/>
      <c r="I788" s="51"/>
      <c r="J788" s="51"/>
      <c r="K788" s="58"/>
      <c r="L788" s="59"/>
      <c r="M788" s="58"/>
      <c r="N788" s="58"/>
      <c r="O788" s="51"/>
      <c r="P788" s="51"/>
      <c r="Q788" s="37"/>
      <c r="R788" s="70"/>
      <c r="S788" s="70"/>
      <c r="T788" s="70"/>
      <c r="U788" s="71"/>
      <c r="V788" s="73"/>
      <c r="W788" s="75"/>
      <c r="X788" s="117"/>
      <c r="Y788" s="111"/>
      <c r="Z788" s="111"/>
      <c r="AH788" s="5"/>
      <c r="AI788" s="5"/>
    </row>
    <row r="789" spans="1:35">
      <c r="A789" s="51"/>
      <c r="B789" s="51"/>
      <c r="C789" s="5"/>
      <c r="D789" s="51"/>
      <c r="E789" s="51"/>
      <c r="F789" s="55"/>
      <c r="G789" s="56"/>
      <c r="H789" s="57"/>
      <c r="I789" s="51"/>
      <c r="J789" s="51"/>
      <c r="K789" s="134"/>
      <c r="L789" s="59"/>
      <c r="M789" s="134"/>
      <c r="N789" s="134"/>
      <c r="O789" s="51"/>
      <c r="P789" s="51"/>
      <c r="Q789" s="37"/>
      <c r="R789" s="70"/>
      <c r="S789" s="70"/>
      <c r="T789" s="70"/>
      <c r="U789" s="71"/>
      <c r="V789" s="73"/>
      <c r="W789" s="75"/>
      <c r="X789" s="117"/>
      <c r="Y789" s="111"/>
      <c r="Z789" s="111"/>
      <c r="AH789" s="5"/>
      <c r="AI789" s="5"/>
    </row>
    <row r="790" spans="1:35">
      <c r="A790" s="51"/>
      <c r="B790" s="51"/>
      <c r="C790" s="5"/>
      <c r="D790" s="51"/>
      <c r="E790" s="51"/>
      <c r="F790" s="55"/>
      <c r="G790" s="56"/>
      <c r="H790" s="57"/>
      <c r="I790" s="51"/>
      <c r="J790" s="51"/>
      <c r="K790" s="134"/>
      <c r="L790" s="59"/>
      <c r="M790" s="134"/>
      <c r="N790" s="134"/>
      <c r="O790" s="51"/>
      <c r="P790" s="51"/>
      <c r="Q790" s="37"/>
      <c r="R790" s="70"/>
      <c r="S790" s="70"/>
      <c r="T790" s="70"/>
      <c r="U790" s="71"/>
      <c r="V790" s="73"/>
      <c r="W790" s="75"/>
      <c r="X790" s="117"/>
      <c r="Y790" s="111"/>
      <c r="Z790" s="111"/>
      <c r="AH790" s="5"/>
      <c r="AI790" s="5"/>
    </row>
    <row r="791" spans="1:35">
      <c r="A791" s="51"/>
      <c r="B791" s="51"/>
      <c r="C791" s="5"/>
      <c r="D791" s="51"/>
      <c r="E791" s="51"/>
      <c r="F791" s="55"/>
      <c r="G791" s="56"/>
      <c r="H791" s="57"/>
      <c r="I791" s="51"/>
      <c r="J791" s="51"/>
      <c r="K791" s="134"/>
      <c r="L791" s="59"/>
      <c r="M791" s="134"/>
      <c r="N791" s="134"/>
      <c r="O791" s="51"/>
      <c r="P791" s="51"/>
      <c r="Q791" s="37"/>
      <c r="R791" s="70"/>
      <c r="S791" s="70"/>
      <c r="T791" s="70"/>
      <c r="U791" s="71"/>
      <c r="V791" s="73"/>
      <c r="W791" s="75"/>
      <c r="X791" s="117"/>
      <c r="Y791" s="111"/>
      <c r="Z791" s="111"/>
      <c r="AH791" s="5"/>
      <c r="AI791" s="5"/>
    </row>
    <row r="792" spans="1:35">
      <c r="A792" s="51"/>
      <c r="B792" s="51"/>
      <c r="C792" s="5"/>
      <c r="D792" s="51"/>
      <c r="E792" s="51"/>
      <c r="F792" s="55"/>
      <c r="G792" s="56"/>
      <c r="H792" s="57"/>
      <c r="I792" s="51"/>
      <c r="J792" s="51"/>
      <c r="K792" s="134"/>
      <c r="L792" s="59"/>
      <c r="M792" s="134"/>
      <c r="N792" s="134"/>
      <c r="O792" s="51"/>
      <c r="P792" s="51"/>
      <c r="Q792" s="37"/>
      <c r="R792" s="70"/>
      <c r="S792" s="70"/>
      <c r="T792" s="70"/>
      <c r="U792" s="71"/>
      <c r="V792" s="73"/>
      <c r="W792" s="75"/>
      <c r="X792" s="117"/>
      <c r="Y792" s="111"/>
      <c r="Z792" s="111"/>
      <c r="AH792" s="5"/>
      <c r="AI792" s="5"/>
    </row>
    <row r="793" spans="1:35">
      <c r="A793" s="51"/>
      <c r="B793" s="51"/>
      <c r="C793" s="5"/>
      <c r="D793" s="51"/>
      <c r="E793" s="51"/>
      <c r="F793" s="55"/>
      <c r="G793" s="56"/>
      <c r="H793" s="57"/>
      <c r="I793" s="51"/>
      <c r="J793" s="51"/>
      <c r="K793" s="134"/>
      <c r="L793" s="59"/>
      <c r="M793" s="134"/>
      <c r="N793" s="134"/>
      <c r="O793" s="51"/>
      <c r="P793" s="51"/>
      <c r="Q793" s="37"/>
      <c r="R793" s="70"/>
      <c r="S793" s="70"/>
      <c r="T793" s="70"/>
      <c r="U793" s="71"/>
      <c r="V793" s="73"/>
      <c r="W793" s="75"/>
      <c r="X793" s="117"/>
      <c r="Y793" s="111"/>
      <c r="Z793" s="111"/>
      <c r="AH793" s="5"/>
      <c r="AI793" s="5"/>
    </row>
    <row r="794" spans="1:35">
      <c r="A794" s="51"/>
      <c r="B794" s="51"/>
      <c r="C794" s="5"/>
      <c r="D794" s="51"/>
      <c r="E794" s="51"/>
      <c r="F794" s="55"/>
      <c r="G794" s="56"/>
      <c r="H794" s="57"/>
      <c r="I794" s="51"/>
      <c r="J794" s="51"/>
      <c r="K794" s="134"/>
      <c r="L794" s="59"/>
      <c r="M794" s="134"/>
      <c r="N794" s="134"/>
      <c r="O794" s="51"/>
      <c r="P794" s="51"/>
      <c r="Q794" s="37"/>
      <c r="R794" s="70"/>
      <c r="S794" s="70"/>
      <c r="T794" s="70"/>
      <c r="U794" s="71"/>
      <c r="V794" s="73"/>
      <c r="W794" s="75"/>
      <c r="X794" s="117"/>
      <c r="Y794" s="111"/>
      <c r="Z794" s="111"/>
      <c r="AH794" s="5"/>
      <c r="AI794" s="5"/>
    </row>
    <row r="795" spans="1:35">
      <c r="A795" s="51"/>
      <c r="B795" s="51"/>
      <c r="C795" s="5"/>
      <c r="D795" s="51"/>
      <c r="E795" s="51"/>
      <c r="F795" s="55"/>
      <c r="G795" s="56"/>
      <c r="H795" s="57"/>
      <c r="I795" s="51"/>
      <c r="J795" s="51"/>
      <c r="K795" s="134"/>
      <c r="L795" s="59"/>
      <c r="M795" s="134"/>
      <c r="N795" s="134"/>
      <c r="O795" s="51"/>
      <c r="P795" s="51"/>
      <c r="Q795" s="37"/>
      <c r="R795" s="70"/>
      <c r="S795" s="70"/>
      <c r="T795" s="70"/>
      <c r="U795" s="71"/>
      <c r="V795" s="73"/>
      <c r="W795" s="75"/>
      <c r="X795" s="117"/>
      <c r="Y795" s="111"/>
      <c r="Z795" s="111"/>
      <c r="AH795" s="5"/>
      <c r="AI795" s="5"/>
    </row>
    <row r="796" spans="1:35">
      <c r="A796" s="51"/>
      <c r="B796" s="51"/>
      <c r="C796" s="5"/>
      <c r="D796" s="51"/>
      <c r="E796" s="51"/>
      <c r="F796" s="55"/>
      <c r="G796" s="56"/>
      <c r="H796" s="57"/>
      <c r="I796" s="51"/>
      <c r="J796" s="51"/>
      <c r="K796" s="134"/>
      <c r="L796" s="59"/>
      <c r="M796" s="134"/>
      <c r="N796" s="134"/>
      <c r="O796" s="51"/>
      <c r="P796" s="51"/>
      <c r="Q796" s="37"/>
      <c r="R796" s="70"/>
      <c r="S796" s="70"/>
      <c r="T796" s="70"/>
      <c r="U796" s="71"/>
      <c r="V796" s="73"/>
      <c r="W796" s="75"/>
      <c r="X796" s="117"/>
      <c r="Y796" s="111"/>
      <c r="Z796" s="111"/>
      <c r="AH796" s="5"/>
      <c r="AI796" s="5"/>
    </row>
    <row r="797" spans="1:35">
      <c r="A797" s="51"/>
      <c r="B797" s="51"/>
      <c r="C797" s="5"/>
      <c r="D797" s="51"/>
      <c r="E797" s="51"/>
      <c r="F797" s="55"/>
      <c r="G797" s="56"/>
      <c r="H797" s="57"/>
      <c r="I797" s="51"/>
      <c r="J797" s="51"/>
      <c r="K797" s="134"/>
      <c r="L797" s="59"/>
      <c r="M797" s="134"/>
      <c r="N797" s="134"/>
      <c r="O797" s="51"/>
      <c r="P797" s="51"/>
      <c r="Q797" s="37"/>
      <c r="R797" s="70"/>
      <c r="S797" s="70"/>
      <c r="T797" s="70"/>
      <c r="U797" s="71"/>
      <c r="V797" s="73"/>
      <c r="W797" s="75"/>
      <c r="X797" s="117"/>
      <c r="Y797" s="111"/>
      <c r="Z797" s="111"/>
      <c r="AH797" s="5"/>
      <c r="AI797" s="5"/>
    </row>
    <row r="798" spans="1:35">
      <c r="A798" s="51"/>
      <c r="B798" s="51"/>
      <c r="C798" s="5"/>
      <c r="D798" s="51"/>
      <c r="E798" s="51"/>
      <c r="F798" s="55"/>
      <c r="G798" s="56"/>
      <c r="H798" s="57"/>
      <c r="I798" s="51"/>
      <c r="J798" s="51"/>
      <c r="K798" s="134"/>
      <c r="L798" s="59"/>
      <c r="M798" s="134"/>
      <c r="N798" s="134"/>
      <c r="O798" s="51"/>
      <c r="P798" s="51"/>
      <c r="Q798" s="37"/>
      <c r="R798" s="70"/>
      <c r="S798" s="70"/>
      <c r="T798" s="70"/>
      <c r="U798" s="71"/>
      <c r="V798" s="73"/>
      <c r="W798" s="75"/>
      <c r="X798" s="117"/>
      <c r="Y798" s="111"/>
      <c r="Z798" s="111"/>
      <c r="AH798" s="5"/>
      <c r="AI798" s="5"/>
    </row>
    <row r="799" spans="1:35">
      <c r="A799" s="51"/>
      <c r="B799" s="51"/>
      <c r="C799" s="5"/>
      <c r="D799" s="51"/>
      <c r="E799" s="51"/>
      <c r="F799" s="55"/>
      <c r="G799" s="56"/>
      <c r="H799" s="57"/>
      <c r="I799" s="51"/>
      <c r="J799" s="51"/>
      <c r="K799" s="134"/>
      <c r="L799" s="59"/>
      <c r="M799" s="134"/>
      <c r="N799" s="134"/>
      <c r="O799" s="51"/>
      <c r="P799" s="51"/>
      <c r="Q799" s="37"/>
      <c r="R799" s="70"/>
      <c r="S799" s="70"/>
      <c r="T799" s="70"/>
      <c r="U799" s="71"/>
      <c r="V799" s="73"/>
      <c r="W799" s="75"/>
      <c r="X799" s="117"/>
      <c r="Y799" s="111"/>
      <c r="Z799" s="111"/>
      <c r="AH799" s="5"/>
      <c r="AI799" s="5"/>
    </row>
    <row r="800" spans="1:35">
      <c r="A800" s="51"/>
      <c r="B800" s="51"/>
      <c r="C800" s="5"/>
      <c r="D800" s="51"/>
      <c r="E800" s="51"/>
      <c r="F800" s="55"/>
      <c r="G800" s="56"/>
      <c r="H800" s="57"/>
      <c r="I800" s="51"/>
      <c r="J800" s="51"/>
      <c r="K800" s="134"/>
      <c r="L800" s="59"/>
      <c r="M800" s="134"/>
      <c r="N800" s="134"/>
      <c r="O800" s="51"/>
      <c r="P800" s="51"/>
      <c r="Q800" s="37"/>
      <c r="R800" s="70"/>
      <c r="S800" s="70"/>
      <c r="T800" s="70"/>
      <c r="U800" s="71"/>
      <c r="V800" s="73"/>
      <c r="W800" s="75"/>
      <c r="X800" s="117"/>
      <c r="Y800" s="111"/>
      <c r="Z800" s="111"/>
      <c r="AH800" s="5"/>
      <c r="AI800" s="5"/>
    </row>
    <row r="801" spans="1:35">
      <c r="A801" s="51"/>
      <c r="B801" s="51"/>
      <c r="C801" s="5"/>
      <c r="D801" s="51"/>
      <c r="E801" s="51"/>
      <c r="F801" s="55"/>
      <c r="G801" s="56"/>
      <c r="H801" s="57"/>
      <c r="I801" s="51"/>
      <c r="J801" s="51"/>
      <c r="K801" s="134"/>
      <c r="L801" s="59"/>
      <c r="M801" s="134"/>
      <c r="N801" s="134"/>
      <c r="O801" s="51"/>
      <c r="P801" s="51"/>
      <c r="Q801" s="37"/>
      <c r="R801" s="70"/>
      <c r="S801" s="70"/>
      <c r="T801" s="70"/>
      <c r="U801" s="71"/>
      <c r="V801" s="73"/>
      <c r="W801" s="75"/>
      <c r="X801" s="117"/>
      <c r="Y801" s="111"/>
      <c r="Z801" s="111"/>
      <c r="AH801" s="5"/>
      <c r="AI801" s="5"/>
    </row>
    <row r="802" spans="1:35">
      <c r="A802" s="51"/>
      <c r="B802" s="51"/>
      <c r="C802" s="5"/>
      <c r="D802" s="51"/>
      <c r="E802" s="51"/>
      <c r="F802" s="55"/>
      <c r="G802" s="56"/>
      <c r="H802" s="57"/>
      <c r="I802" s="51"/>
      <c r="J802" s="51"/>
      <c r="K802" s="134"/>
      <c r="L802" s="59"/>
      <c r="M802" s="134"/>
      <c r="N802" s="134"/>
      <c r="O802" s="51"/>
      <c r="P802" s="51"/>
      <c r="Q802" s="37"/>
      <c r="R802" s="70"/>
      <c r="S802" s="70"/>
      <c r="T802" s="70"/>
      <c r="U802" s="71"/>
      <c r="V802" s="73"/>
      <c r="W802" s="75"/>
      <c r="X802" s="117"/>
      <c r="Y802" s="111"/>
      <c r="Z802" s="111"/>
      <c r="AH802" s="5"/>
      <c r="AI802" s="5"/>
    </row>
    <row r="803" spans="1:35">
      <c r="A803" s="51"/>
      <c r="B803" s="51"/>
      <c r="C803" s="5"/>
      <c r="D803" s="51"/>
      <c r="E803" s="51"/>
      <c r="F803" s="55"/>
      <c r="G803" s="56"/>
      <c r="H803" s="57"/>
      <c r="I803" s="51"/>
      <c r="J803" s="51"/>
      <c r="K803" s="134"/>
      <c r="L803" s="59"/>
      <c r="M803" s="134"/>
      <c r="N803" s="134"/>
      <c r="O803" s="51"/>
      <c r="P803" s="51"/>
      <c r="Q803" s="37"/>
      <c r="R803" s="70"/>
      <c r="S803" s="70"/>
      <c r="T803" s="70"/>
      <c r="U803" s="71"/>
      <c r="V803" s="73"/>
      <c r="W803" s="75"/>
      <c r="X803" s="117"/>
      <c r="Y803" s="111"/>
      <c r="Z803" s="111"/>
      <c r="AH803" s="5"/>
      <c r="AI803" s="5"/>
    </row>
    <row r="804" spans="1:35">
      <c r="A804" s="51"/>
      <c r="B804" s="51"/>
      <c r="C804" s="5"/>
      <c r="D804" s="51"/>
      <c r="E804" s="51"/>
      <c r="F804" s="55"/>
      <c r="G804" s="56"/>
      <c r="H804" s="57"/>
      <c r="I804" s="51"/>
      <c r="J804" s="51"/>
      <c r="K804" s="134"/>
      <c r="L804" s="59"/>
      <c r="M804" s="134"/>
      <c r="N804" s="134"/>
      <c r="O804" s="51"/>
      <c r="P804" s="51"/>
      <c r="Q804" s="37"/>
      <c r="R804" s="70"/>
      <c r="S804" s="70"/>
      <c r="T804" s="70"/>
      <c r="U804" s="71"/>
      <c r="V804" s="73"/>
      <c r="W804" s="75"/>
      <c r="X804" s="117"/>
      <c r="Y804" s="111"/>
      <c r="Z804" s="111"/>
      <c r="AH804" s="5"/>
      <c r="AI804" s="5"/>
    </row>
    <row r="805" spans="1:35">
      <c r="A805" s="51"/>
      <c r="B805" s="51"/>
      <c r="C805" s="5"/>
      <c r="D805" s="51"/>
      <c r="E805" s="51"/>
      <c r="F805" s="55"/>
      <c r="G805" s="56"/>
      <c r="H805" s="57"/>
      <c r="I805" s="51"/>
      <c r="J805" s="51"/>
      <c r="K805" s="134"/>
      <c r="L805" s="59"/>
      <c r="M805" s="134"/>
      <c r="N805" s="134"/>
      <c r="O805" s="51"/>
      <c r="P805" s="51"/>
      <c r="Q805" s="37"/>
      <c r="R805" s="70"/>
      <c r="S805" s="70"/>
      <c r="T805" s="70"/>
      <c r="U805" s="71"/>
      <c r="V805" s="73"/>
      <c r="W805" s="75"/>
      <c r="X805" s="117"/>
      <c r="Y805" s="111"/>
      <c r="Z805" s="111"/>
      <c r="AH805" s="5"/>
      <c r="AI805" s="5"/>
    </row>
    <row r="806" spans="1:35">
      <c r="A806" s="51"/>
      <c r="B806" s="51"/>
      <c r="C806" s="5"/>
      <c r="D806" s="51"/>
      <c r="E806" s="51"/>
      <c r="F806" s="55"/>
      <c r="G806" s="56"/>
      <c r="H806" s="57"/>
      <c r="I806" s="51"/>
      <c r="J806" s="51"/>
      <c r="K806" s="134"/>
      <c r="L806" s="59"/>
      <c r="M806" s="134"/>
      <c r="N806" s="134"/>
      <c r="O806" s="51"/>
      <c r="P806" s="51"/>
      <c r="Q806" s="37"/>
      <c r="R806" s="70"/>
      <c r="S806" s="70"/>
      <c r="T806" s="70"/>
      <c r="U806" s="71"/>
      <c r="V806" s="73"/>
      <c r="W806" s="75"/>
      <c r="X806" s="117"/>
      <c r="Y806" s="111"/>
      <c r="Z806" s="111"/>
      <c r="AH806" s="5"/>
      <c r="AI806" s="5"/>
    </row>
    <row r="807" spans="1:35">
      <c r="A807" s="51"/>
      <c r="B807" s="51"/>
      <c r="C807" s="5"/>
      <c r="D807" s="51"/>
      <c r="E807" s="51"/>
      <c r="F807" s="55"/>
      <c r="G807" s="56"/>
      <c r="H807" s="57"/>
      <c r="I807" s="51"/>
      <c r="J807" s="51"/>
      <c r="K807" s="134"/>
      <c r="L807" s="59"/>
      <c r="M807" s="134"/>
      <c r="N807" s="134"/>
      <c r="O807" s="51"/>
      <c r="P807" s="51"/>
      <c r="Q807" s="37"/>
      <c r="R807" s="70"/>
      <c r="S807" s="70"/>
      <c r="T807" s="70"/>
      <c r="U807" s="71"/>
      <c r="V807" s="73"/>
      <c r="W807" s="75"/>
      <c r="X807" s="117"/>
      <c r="Y807" s="111"/>
      <c r="Z807" s="111"/>
      <c r="AH807" s="5"/>
      <c r="AI807" s="5"/>
    </row>
    <row r="808" spans="1:35">
      <c r="A808" s="51"/>
      <c r="B808" s="51"/>
      <c r="C808" s="5"/>
      <c r="D808" s="51"/>
      <c r="E808" s="51"/>
      <c r="F808" s="55"/>
      <c r="G808" s="56"/>
      <c r="H808" s="57"/>
      <c r="I808" s="51"/>
      <c r="J808" s="51"/>
      <c r="K808" s="134"/>
      <c r="L808" s="59"/>
      <c r="M808" s="134"/>
      <c r="N808" s="134"/>
      <c r="O808" s="51"/>
      <c r="P808" s="51"/>
      <c r="Q808" s="37"/>
      <c r="R808" s="70"/>
      <c r="S808" s="70"/>
      <c r="T808" s="70"/>
      <c r="U808" s="71"/>
      <c r="V808" s="73"/>
      <c r="W808" s="75"/>
      <c r="X808" s="117"/>
      <c r="Y808" s="111"/>
      <c r="Z808" s="111"/>
      <c r="AH808" s="5"/>
      <c r="AI808" s="5"/>
    </row>
    <row r="809" spans="1:35">
      <c r="A809" s="51"/>
      <c r="B809" s="51"/>
      <c r="C809" s="5"/>
      <c r="D809" s="51"/>
      <c r="E809" s="51"/>
      <c r="F809" s="55"/>
      <c r="G809" s="56"/>
      <c r="H809" s="57"/>
      <c r="I809" s="51"/>
      <c r="J809" s="51"/>
      <c r="K809" s="134"/>
      <c r="L809" s="59"/>
      <c r="M809" s="134"/>
      <c r="N809" s="134"/>
      <c r="O809" s="51"/>
      <c r="P809" s="51"/>
      <c r="Q809" s="37"/>
      <c r="R809" s="70"/>
      <c r="S809" s="70"/>
      <c r="T809" s="70"/>
      <c r="U809" s="71"/>
      <c r="V809" s="73"/>
      <c r="W809" s="75"/>
      <c r="X809" s="117"/>
      <c r="Y809" s="111"/>
      <c r="Z809" s="111"/>
      <c r="AH809" s="5"/>
      <c r="AI809" s="5"/>
    </row>
    <row r="810" spans="1:35">
      <c r="A810" s="51"/>
      <c r="B810" s="51"/>
      <c r="C810" s="5"/>
      <c r="D810" s="51"/>
      <c r="E810" s="51"/>
      <c r="F810" s="55"/>
      <c r="G810" s="56"/>
      <c r="H810" s="57"/>
      <c r="I810" s="51"/>
      <c r="J810" s="51"/>
      <c r="K810" s="134"/>
      <c r="L810" s="59"/>
      <c r="M810" s="134"/>
      <c r="N810" s="134"/>
      <c r="O810" s="51"/>
      <c r="P810" s="51"/>
      <c r="Q810" s="37"/>
      <c r="R810" s="70"/>
      <c r="S810" s="70"/>
      <c r="T810" s="70"/>
      <c r="U810" s="71"/>
      <c r="V810" s="73"/>
      <c r="W810" s="75"/>
      <c r="X810" s="117"/>
      <c r="Y810" s="111"/>
      <c r="Z810" s="111"/>
      <c r="AH810" s="5"/>
      <c r="AI810" s="5"/>
    </row>
    <row r="811" spans="1:35">
      <c r="A811" s="51"/>
      <c r="B811" s="51"/>
      <c r="C811" s="5"/>
      <c r="D811" s="51"/>
      <c r="E811" s="51"/>
      <c r="F811" s="55"/>
      <c r="G811" s="56"/>
      <c r="H811" s="57"/>
      <c r="I811" s="51"/>
      <c r="J811" s="51"/>
      <c r="K811" s="134"/>
      <c r="L811" s="59"/>
      <c r="M811" s="134"/>
      <c r="N811" s="134"/>
      <c r="O811" s="51"/>
      <c r="P811" s="51"/>
      <c r="Q811" s="37"/>
      <c r="R811" s="70"/>
      <c r="S811" s="70"/>
      <c r="T811" s="70"/>
      <c r="U811" s="71"/>
      <c r="V811" s="73"/>
      <c r="W811" s="75"/>
      <c r="X811" s="117"/>
      <c r="Y811" s="111"/>
      <c r="Z811" s="111"/>
      <c r="AH811" s="5"/>
      <c r="AI811" s="5"/>
    </row>
    <row r="812" spans="1:35">
      <c r="A812" s="51"/>
      <c r="B812" s="51"/>
      <c r="C812" s="5"/>
      <c r="D812" s="51"/>
      <c r="E812" s="51"/>
      <c r="F812" s="55"/>
      <c r="G812" s="56"/>
      <c r="H812" s="57"/>
      <c r="I812" s="51"/>
      <c r="J812" s="51"/>
      <c r="K812" s="134"/>
      <c r="L812" s="59"/>
      <c r="M812" s="134"/>
      <c r="N812" s="134"/>
      <c r="O812" s="51"/>
      <c r="P812" s="51"/>
      <c r="Q812" s="37"/>
      <c r="R812" s="70"/>
      <c r="S812" s="70"/>
      <c r="T812" s="70"/>
      <c r="U812" s="71"/>
      <c r="V812" s="73"/>
      <c r="W812" s="75"/>
      <c r="X812" s="117"/>
      <c r="Y812" s="111"/>
      <c r="Z812" s="111"/>
      <c r="AH812" s="5"/>
      <c r="AI812" s="5"/>
    </row>
    <row r="813" spans="1:35">
      <c r="A813" s="51"/>
      <c r="B813" s="51"/>
      <c r="C813" s="5"/>
      <c r="D813" s="51"/>
      <c r="E813" s="51"/>
      <c r="F813" s="55"/>
      <c r="G813" s="56"/>
      <c r="H813" s="57"/>
      <c r="I813" s="51"/>
      <c r="J813" s="51"/>
      <c r="K813" s="134"/>
      <c r="L813" s="59"/>
      <c r="M813" s="134"/>
      <c r="N813" s="134"/>
      <c r="O813" s="51"/>
      <c r="P813" s="51"/>
      <c r="Q813" s="37"/>
      <c r="R813" s="70"/>
      <c r="S813" s="70"/>
      <c r="T813" s="70"/>
      <c r="U813" s="71"/>
      <c r="V813" s="73"/>
      <c r="W813" s="75"/>
      <c r="X813" s="117"/>
      <c r="Y813" s="111"/>
      <c r="Z813" s="111"/>
      <c r="AH813" s="5"/>
      <c r="AI813" s="5"/>
    </row>
    <row r="814" spans="1:35">
      <c r="A814" s="51"/>
      <c r="B814" s="51"/>
      <c r="C814" s="5"/>
      <c r="D814" s="51"/>
      <c r="E814" s="51"/>
      <c r="F814" s="55"/>
      <c r="G814" s="56"/>
      <c r="H814" s="57"/>
      <c r="I814" s="51"/>
      <c r="J814" s="51"/>
      <c r="K814" s="134"/>
      <c r="L814" s="59"/>
      <c r="M814" s="134"/>
      <c r="N814" s="134"/>
      <c r="O814" s="51"/>
      <c r="P814" s="51"/>
      <c r="Q814" s="37"/>
      <c r="R814" s="70"/>
      <c r="S814" s="70"/>
      <c r="T814" s="70"/>
      <c r="U814" s="71"/>
      <c r="V814" s="73"/>
      <c r="W814" s="75"/>
      <c r="X814" s="117"/>
      <c r="Y814" s="111"/>
      <c r="Z814" s="111"/>
      <c r="AH814" s="5"/>
      <c r="AI814" s="5"/>
    </row>
    <row r="815" spans="1:35">
      <c r="A815" s="51"/>
      <c r="B815" s="51"/>
      <c r="C815" s="5"/>
      <c r="D815" s="51"/>
      <c r="E815" s="51"/>
      <c r="F815" s="55"/>
      <c r="G815" s="56"/>
      <c r="H815" s="57"/>
      <c r="I815" s="51"/>
      <c r="J815" s="51"/>
      <c r="K815" s="134"/>
      <c r="L815" s="59"/>
      <c r="M815" s="134"/>
      <c r="N815" s="134"/>
      <c r="O815" s="51"/>
      <c r="P815" s="51"/>
      <c r="Q815" s="37"/>
      <c r="R815" s="70"/>
      <c r="S815" s="70"/>
      <c r="T815" s="70"/>
      <c r="U815" s="71"/>
      <c r="V815" s="73"/>
      <c r="W815" s="75"/>
      <c r="X815" s="117"/>
      <c r="Y815" s="111"/>
      <c r="Z815" s="111"/>
      <c r="AH815" s="5"/>
      <c r="AI815" s="5"/>
    </row>
    <row r="816" spans="1:35">
      <c r="A816" s="51"/>
      <c r="B816" s="51"/>
      <c r="C816" s="5"/>
      <c r="D816" s="51"/>
      <c r="E816" s="51"/>
      <c r="F816" s="55"/>
      <c r="G816" s="56"/>
      <c r="H816" s="57"/>
      <c r="I816" s="51"/>
      <c r="J816" s="51"/>
      <c r="K816" s="134"/>
      <c r="L816" s="59"/>
      <c r="M816" s="134"/>
      <c r="N816" s="134"/>
      <c r="O816" s="51"/>
      <c r="P816" s="51"/>
      <c r="Q816" s="37"/>
      <c r="R816" s="70"/>
      <c r="S816" s="70"/>
      <c r="T816" s="70"/>
      <c r="U816" s="71"/>
      <c r="V816" s="73"/>
      <c r="W816" s="75"/>
      <c r="X816" s="117"/>
      <c r="Y816" s="111"/>
      <c r="Z816" s="111"/>
      <c r="AH816" s="5"/>
      <c r="AI816" s="5"/>
    </row>
    <row r="817" spans="1:35">
      <c r="A817" s="51"/>
      <c r="B817" s="51"/>
      <c r="C817" s="5"/>
      <c r="D817" s="51"/>
      <c r="E817" s="51"/>
      <c r="F817" s="55"/>
      <c r="G817" s="56"/>
      <c r="H817" s="57"/>
      <c r="I817" s="51"/>
      <c r="J817" s="51"/>
      <c r="K817" s="134"/>
      <c r="L817" s="59"/>
      <c r="M817" s="134"/>
      <c r="N817" s="134"/>
      <c r="O817" s="51"/>
      <c r="P817" s="51"/>
      <c r="Q817" s="37"/>
      <c r="R817" s="70"/>
      <c r="S817" s="70"/>
      <c r="T817" s="70"/>
      <c r="U817" s="71"/>
      <c r="V817" s="73"/>
      <c r="W817" s="75"/>
      <c r="X817" s="117"/>
      <c r="Y817" s="111"/>
      <c r="Z817" s="111"/>
      <c r="AH817" s="5"/>
      <c r="AI817" s="5"/>
    </row>
    <row r="818" spans="1:35">
      <c r="A818" s="51"/>
      <c r="B818" s="51"/>
      <c r="C818" s="5"/>
      <c r="D818" s="51"/>
      <c r="E818" s="51"/>
      <c r="F818" s="55"/>
      <c r="G818" s="56"/>
      <c r="H818" s="57"/>
      <c r="I818" s="51"/>
      <c r="J818" s="51"/>
      <c r="K818" s="134"/>
      <c r="L818" s="59"/>
      <c r="M818" s="134"/>
      <c r="N818" s="134"/>
      <c r="O818" s="51"/>
      <c r="P818" s="51"/>
      <c r="Q818" s="37"/>
      <c r="R818" s="70"/>
      <c r="S818" s="70"/>
      <c r="T818" s="70"/>
      <c r="U818" s="71"/>
      <c r="V818" s="73"/>
      <c r="W818" s="75"/>
      <c r="X818" s="117"/>
      <c r="Y818" s="111"/>
      <c r="Z818" s="111"/>
      <c r="AH818" s="5"/>
      <c r="AI818" s="5"/>
    </row>
    <row r="819" spans="1:35">
      <c r="A819" s="51"/>
      <c r="B819" s="51"/>
      <c r="C819" s="5"/>
      <c r="D819" s="51"/>
      <c r="E819" s="51"/>
      <c r="F819" s="55"/>
      <c r="G819" s="56"/>
      <c r="H819" s="57"/>
      <c r="I819" s="51"/>
      <c r="J819" s="51"/>
      <c r="K819" s="134"/>
      <c r="L819" s="59"/>
      <c r="M819" s="134"/>
      <c r="N819" s="134"/>
      <c r="O819" s="51"/>
      <c r="P819" s="51"/>
      <c r="Q819" s="37"/>
      <c r="R819" s="70"/>
      <c r="S819" s="70"/>
      <c r="T819" s="70"/>
      <c r="U819" s="71"/>
      <c r="V819" s="73"/>
      <c r="W819" s="75"/>
      <c r="X819" s="117"/>
      <c r="Y819" s="111"/>
      <c r="Z819" s="111"/>
      <c r="AH819" s="5"/>
      <c r="AI819" s="5"/>
    </row>
    <row r="820" spans="1:35">
      <c r="A820" s="51"/>
      <c r="B820" s="51"/>
      <c r="C820" s="5"/>
      <c r="D820" s="51"/>
      <c r="E820" s="51"/>
      <c r="F820" s="55"/>
      <c r="G820" s="56"/>
      <c r="H820" s="57"/>
      <c r="I820" s="51"/>
      <c r="J820" s="51"/>
      <c r="K820" s="134"/>
      <c r="L820" s="59"/>
      <c r="M820" s="134"/>
      <c r="N820" s="134"/>
      <c r="O820" s="51"/>
      <c r="P820" s="51"/>
      <c r="Q820" s="37"/>
      <c r="R820" s="70"/>
      <c r="S820" s="70"/>
      <c r="T820" s="70"/>
      <c r="U820" s="71"/>
      <c r="V820" s="73"/>
      <c r="W820" s="75"/>
      <c r="X820" s="117"/>
      <c r="Y820" s="111"/>
      <c r="Z820" s="111"/>
      <c r="AH820" s="5"/>
      <c r="AI820" s="5"/>
    </row>
    <row r="821" spans="1:35">
      <c r="A821" s="51"/>
      <c r="B821" s="51"/>
      <c r="C821" s="5"/>
      <c r="D821" s="51"/>
      <c r="E821" s="51"/>
      <c r="F821" s="55"/>
      <c r="G821" s="56"/>
      <c r="H821" s="57"/>
      <c r="I821" s="51"/>
      <c r="J821" s="51"/>
      <c r="K821" s="134"/>
      <c r="L821" s="59"/>
      <c r="M821" s="134"/>
      <c r="N821" s="134"/>
      <c r="O821" s="51"/>
      <c r="P821" s="51"/>
      <c r="Q821" s="37"/>
      <c r="R821" s="70"/>
      <c r="S821" s="70"/>
      <c r="T821" s="70"/>
      <c r="U821" s="71"/>
      <c r="V821" s="73"/>
      <c r="W821" s="75"/>
      <c r="X821" s="117"/>
      <c r="Y821" s="111"/>
      <c r="Z821" s="111"/>
      <c r="AH821" s="5"/>
      <c r="AI821" s="5"/>
    </row>
    <row r="822" spans="1:35">
      <c r="A822" s="51"/>
      <c r="B822" s="51"/>
      <c r="C822" s="5"/>
      <c r="D822" s="51"/>
      <c r="E822" s="51"/>
      <c r="F822" s="55"/>
      <c r="G822" s="56"/>
      <c r="H822" s="57"/>
      <c r="I822" s="51"/>
      <c r="J822" s="51"/>
      <c r="K822" s="134"/>
      <c r="L822" s="59"/>
      <c r="M822" s="134"/>
      <c r="N822" s="134"/>
      <c r="O822" s="51"/>
      <c r="P822" s="51"/>
      <c r="Q822" s="37"/>
      <c r="R822" s="70"/>
      <c r="S822" s="70"/>
      <c r="T822" s="70"/>
      <c r="U822" s="71"/>
      <c r="V822" s="73"/>
      <c r="W822" s="75"/>
      <c r="X822" s="117"/>
      <c r="Y822" s="111"/>
      <c r="Z822" s="111"/>
      <c r="AH822" s="5"/>
      <c r="AI822" s="5"/>
    </row>
    <row r="823" spans="1:35">
      <c r="A823" s="51"/>
      <c r="B823" s="51"/>
      <c r="C823" s="5"/>
      <c r="D823" s="51"/>
      <c r="E823" s="51"/>
      <c r="F823" s="55"/>
      <c r="G823" s="56"/>
      <c r="H823" s="57"/>
      <c r="I823" s="51"/>
      <c r="J823" s="51"/>
      <c r="K823" s="134"/>
      <c r="L823" s="59"/>
      <c r="M823" s="134"/>
      <c r="N823" s="134"/>
      <c r="O823" s="51"/>
      <c r="P823" s="51"/>
      <c r="Q823" s="37"/>
      <c r="R823" s="70"/>
      <c r="S823" s="70"/>
      <c r="T823" s="70"/>
      <c r="U823" s="71"/>
      <c r="V823" s="73"/>
      <c r="W823" s="75"/>
      <c r="X823" s="117"/>
      <c r="Y823" s="111"/>
      <c r="Z823" s="111"/>
      <c r="AH823" s="5"/>
      <c r="AI823" s="5"/>
    </row>
    <row r="824" spans="1:35">
      <c r="A824" s="51"/>
      <c r="B824" s="51"/>
      <c r="C824" s="5"/>
      <c r="D824" s="51"/>
      <c r="E824" s="51"/>
      <c r="F824" s="55"/>
      <c r="G824" s="56"/>
      <c r="H824" s="57"/>
      <c r="I824" s="51"/>
      <c r="J824" s="51"/>
      <c r="K824" s="134"/>
      <c r="L824" s="59"/>
      <c r="M824" s="134"/>
      <c r="N824" s="134"/>
      <c r="O824" s="51"/>
      <c r="P824" s="51"/>
      <c r="Q824" s="37"/>
      <c r="R824" s="70"/>
      <c r="S824" s="70"/>
      <c r="T824" s="70"/>
      <c r="U824" s="71"/>
      <c r="V824" s="73"/>
      <c r="W824" s="75"/>
      <c r="X824" s="117"/>
      <c r="Y824" s="111"/>
      <c r="Z824" s="111"/>
      <c r="AH824" s="5"/>
      <c r="AI824" s="5"/>
    </row>
    <row r="825" spans="1:35">
      <c r="A825" s="51"/>
      <c r="B825" s="51"/>
      <c r="C825" s="5"/>
      <c r="D825" s="51"/>
      <c r="E825" s="51"/>
      <c r="F825" s="55"/>
      <c r="G825" s="56"/>
      <c r="H825" s="57"/>
      <c r="I825" s="51"/>
      <c r="J825" s="51"/>
      <c r="K825" s="134"/>
      <c r="L825" s="59"/>
      <c r="M825" s="134"/>
      <c r="N825" s="134"/>
      <c r="O825" s="51"/>
      <c r="P825" s="51"/>
      <c r="Q825" s="37"/>
      <c r="R825" s="70"/>
      <c r="S825" s="70"/>
      <c r="T825" s="70"/>
      <c r="U825" s="71"/>
      <c r="V825" s="73"/>
      <c r="W825" s="75"/>
      <c r="X825" s="117"/>
      <c r="Y825" s="111"/>
      <c r="Z825" s="111"/>
      <c r="AH825" s="5"/>
      <c r="AI825" s="5"/>
    </row>
    <row r="826" spans="1:35">
      <c r="A826" s="51"/>
      <c r="B826" s="51"/>
      <c r="C826" s="5"/>
      <c r="D826" s="51"/>
      <c r="E826" s="51"/>
      <c r="F826" s="55"/>
      <c r="G826" s="56"/>
      <c r="H826" s="57"/>
      <c r="I826" s="51"/>
      <c r="J826" s="51"/>
      <c r="K826" s="134"/>
      <c r="L826" s="59"/>
      <c r="M826" s="134"/>
      <c r="N826" s="134"/>
      <c r="O826" s="51"/>
      <c r="P826" s="51"/>
      <c r="Q826" s="37"/>
      <c r="R826" s="70"/>
      <c r="S826" s="70"/>
      <c r="T826" s="70"/>
      <c r="U826" s="71"/>
      <c r="V826" s="73"/>
      <c r="W826" s="75"/>
      <c r="X826" s="117"/>
      <c r="Y826" s="111"/>
      <c r="Z826" s="111"/>
      <c r="AH826" s="5"/>
      <c r="AI826" s="5"/>
    </row>
    <row r="827" spans="1:35">
      <c r="A827" s="51"/>
      <c r="B827" s="51"/>
      <c r="C827" s="5"/>
      <c r="D827" s="51"/>
      <c r="E827" s="51"/>
      <c r="F827" s="55"/>
      <c r="G827" s="56"/>
      <c r="H827" s="57"/>
      <c r="I827" s="51"/>
      <c r="J827" s="51"/>
      <c r="K827" s="134"/>
      <c r="L827" s="59"/>
      <c r="M827" s="134"/>
      <c r="N827" s="134"/>
      <c r="O827" s="51"/>
      <c r="P827" s="51"/>
      <c r="Q827" s="37"/>
      <c r="R827" s="70"/>
      <c r="S827" s="70"/>
      <c r="T827" s="70"/>
      <c r="U827" s="71"/>
      <c r="V827" s="73"/>
      <c r="W827" s="75"/>
      <c r="X827" s="117"/>
      <c r="Y827" s="111"/>
      <c r="Z827" s="111"/>
      <c r="AH827" s="5"/>
      <c r="AI827" s="5"/>
    </row>
    <row r="828" spans="1:35">
      <c r="A828" s="51"/>
      <c r="B828" s="51"/>
      <c r="C828" s="5"/>
      <c r="D828" s="51"/>
      <c r="E828" s="51"/>
      <c r="F828" s="55"/>
      <c r="G828" s="56"/>
      <c r="H828" s="57"/>
      <c r="I828" s="51"/>
      <c r="J828" s="51"/>
      <c r="K828" s="134"/>
      <c r="L828" s="59"/>
      <c r="M828" s="134"/>
      <c r="N828" s="134"/>
      <c r="O828" s="51"/>
      <c r="P828" s="51"/>
      <c r="Q828" s="37"/>
      <c r="R828" s="70"/>
      <c r="S828" s="70"/>
      <c r="T828" s="70"/>
      <c r="U828" s="71"/>
      <c r="V828" s="73"/>
      <c r="W828" s="75"/>
      <c r="X828" s="117"/>
      <c r="Y828" s="111"/>
      <c r="Z828" s="111"/>
      <c r="AH828" s="5"/>
      <c r="AI828" s="5"/>
    </row>
    <row r="829" spans="1:35">
      <c r="A829" s="51"/>
      <c r="B829" s="51"/>
      <c r="C829" s="5"/>
      <c r="D829" s="51"/>
      <c r="E829" s="51"/>
      <c r="F829" s="55"/>
      <c r="G829" s="56"/>
      <c r="H829" s="57"/>
      <c r="I829" s="51"/>
      <c r="J829" s="51"/>
      <c r="K829" s="134"/>
      <c r="L829" s="59"/>
      <c r="M829" s="134"/>
      <c r="N829" s="134"/>
      <c r="O829" s="51"/>
      <c r="P829" s="51"/>
      <c r="Q829" s="37"/>
      <c r="R829" s="70"/>
      <c r="S829" s="70"/>
      <c r="T829" s="70"/>
      <c r="U829" s="71"/>
      <c r="V829" s="73"/>
      <c r="W829" s="75"/>
      <c r="X829" s="117"/>
      <c r="Y829" s="111"/>
      <c r="Z829" s="111"/>
      <c r="AH829" s="5"/>
      <c r="AI829" s="5"/>
    </row>
    <row r="830" spans="1:35">
      <c r="A830" s="51"/>
      <c r="B830" s="51"/>
      <c r="C830" s="5"/>
      <c r="D830" s="51"/>
      <c r="E830" s="51"/>
      <c r="F830" s="55"/>
      <c r="G830" s="56"/>
      <c r="H830" s="57"/>
      <c r="I830" s="51"/>
      <c r="J830" s="51"/>
      <c r="K830" s="134"/>
      <c r="L830" s="59"/>
      <c r="M830" s="134"/>
      <c r="N830" s="134"/>
      <c r="O830" s="51"/>
      <c r="P830" s="51"/>
      <c r="Q830" s="37"/>
      <c r="R830" s="70"/>
      <c r="S830" s="70"/>
      <c r="T830" s="70"/>
      <c r="U830" s="71"/>
      <c r="V830" s="73"/>
      <c r="W830" s="75"/>
      <c r="X830" s="117"/>
      <c r="Y830" s="111"/>
      <c r="Z830" s="111"/>
      <c r="AH830" s="5"/>
      <c r="AI830" s="5"/>
    </row>
    <row r="831" spans="1:35">
      <c r="A831" s="51"/>
      <c r="B831" s="51"/>
      <c r="C831" s="5"/>
      <c r="D831" s="51"/>
      <c r="E831" s="51"/>
      <c r="F831" s="55"/>
      <c r="G831" s="56"/>
      <c r="H831" s="57"/>
      <c r="I831" s="51"/>
      <c r="J831" s="51"/>
      <c r="K831" s="134"/>
      <c r="L831" s="59"/>
      <c r="M831" s="134"/>
      <c r="N831" s="134"/>
      <c r="O831" s="51"/>
      <c r="P831" s="51"/>
      <c r="Q831" s="37"/>
      <c r="R831" s="70"/>
      <c r="S831" s="70"/>
      <c r="T831" s="70"/>
      <c r="U831" s="71"/>
      <c r="V831" s="73"/>
      <c r="W831" s="75"/>
      <c r="X831" s="117"/>
      <c r="Y831" s="111"/>
      <c r="Z831" s="111"/>
      <c r="AH831" s="5"/>
      <c r="AI831" s="5"/>
    </row>
    <row r="832" spans="1:35">
      <c r="A832" s="51"/>
      <c r="B832" s="51"/>
      <c r="C832" s="5"/>
      <c r="D832" s="51"/>
      <c r="E832" s="51"/>
      <c r="F832" s="55"/>
      <c r="G832" s="56"/>
      <c r="H832" s="57"/>
      <c r="I832" s="51"/>
      <c r="J832" s="51"/>
      <c r="K832" s="134"/>
      <c r="L832" s="59"/>
      <c r="M832" s="134"/>
      <c r="N832" s="134"/>
      <c r="O832" s="51"/>
      <c r="P832" s="51"/>
      <c r="Q832" s="37"/>
      <c r="R832" s="70"/>
      <c r="S832" s="70"/>
      <c r="T832" s="70"/>
      <c r="U832" s="71"/>
      <c r="V832" s="73"/>
      <c r="W832" s="75"/>
      <c r="X832" s="117"/>
      <c r="Y832" s="111"/>
      <c r="Z832" s="111"/>
      <c r="AH832" s="5"/>
      <c r="AI832" s="5"/>
    </row>
    <row r="833" spans="1:35">
      <c r="A833" s="51"/>
      <c r="B833" s="51"/>
      <c r="C833" s="5"/>
      <c r="D833" s="51"/>
      <c r="E833" s="51"/>
      <c r="F833" s="55"/>
      <c r="G833" s="56"/>
      <c r="H833" s="57"/>
      <c r="I833" s="51"/>
      <c r="J833" s="51"/>
      <c r="K833" s="134"/>
      <c r="L833" s="59"/>
      <c r="M833" s="134"/>
      <c r="N833" s="134"/>
      <c r="O833" s="51"/>
      <c r="P833" s="51"/>
      <c r="Q833" s="37"/>
      <c r="R833" s="70"/>
      <c r="S833" s="70"/>
      <c r="T833" s="70"/>
      <c r="U833" s="71"/>
      <c r="V833" s="73"/>
      <c r="W833" s="75"/>
      <c r="X833" s="117"/>
      <c r="Y833" s="111"/>
      <c r="Z833" s="111"/>
      <c r="AH833" s="5"/>
      <c r="AI833" s="5"/>
    </row>
    <row r="834" spans="1:35">
      <c r="A834" s="51"/>
      <c r="B834" s="51"/>
      <c r="C834" s="5"/>
      <c r="D834" s="51"/>
      <c r="E834" s="51"/>
      <c r="F834" s="55"/>
      <c r="G834" s="56"/>
      <c r="H834" s="57"/>
      <c r="I834" s="51"/>
      <c r="J834" s="51"/>
      <c r="K834" s="134"/>
      <c r="L834" s="59"/>
      <c r="M834" s="134"/>
      <c r="N834" s="134"/>
      <c r="O834" s="51"/>
      <c r="P834" s="51"/>
      <c r="Q834" s="37"/>
      <c r="R834" s="70"/>
      <c r="S834" s="70"/>
      <c r="T834" s="70"/>
      <c r="U834" s="71"/>
      <c r="V834" s="73"/>
      <c r="W834" s="75"/>
      <c r="X834" s="117"/>
      <c r="Y834" s="111"/>
      <c r="Z834" s="111"/>
      <c r="AH834" s="5"/>
      <c r="AI834" s="5"/>
    </row>
    <row r="835" spans="1:35">
      <c r="A835" s="51"/>
      <c r="B835" s="51"/>
      <c r="C835" s="5"/>
      <c r="D835" s="51"/>
      <c r="E835" s="51"/>
      <c r="F835" s="55"/>
      <c r="G835" s="56"/>
      <c r="H835" s="57"/>
      <c r="I835" s="51"/>
      <c r="J835" s="51"/>
      <c r="K835" s="134"/>
      <c r="L835" s="59"/>
      <c r="M835" s="134"/>
      <c r="N835" s="134"/>
      <c r="O835" s="51"/>
      <c r="P835" s="51"/>
      <c r="Q835" s="37"/>
      <c r="R835" s="70"/>
      <c r="S835" s="70"/>
      <c r="T835" s="70"/>
      <c r="U835" s="71"/>
      <c r="V835" s="73"/>
      <c r="W835" s="75"/>
      <c r="X835" s="117"/>
      <c r="Y835" s="111"/>
      <c r="Z835" s="111"/>
      <c r="AH835" s="5"/>
      <c r="AI835" s="5"/>
    </row>
    <row r="836" spans="1:35">
      <c r="A836" s="51"/>
      <c r="B836" s="51"/>
      <c r="C836" s="5"/>
      <c r="D836" s="51"/>
      <c r="E836" s="51"/>
      <c r="F836" s="55"/>
      <c r="G836" s="56"/>
      <c r="H836" s="57"/>
      <c r="I836" s="51"/>
      <c r="J836" s="51"/>
      <c r="K836" s="134"/>
      <c r="L836" s="59"/>
      <c r="M836" s="134"/>
      <c r="N836" s="134"/>
      <c r="O836" s="51"/>
      <c r="P836" s="51"/>
      <c r="Q836" s="37"/>
      <c r="R836" s="70"/>
      <c r="S836" s="70"/>
      <c r="T836" s="70"/>
      <c r="U836" s="71"/>
      <c r="V836" s="73"/>
      <c r="W836" s="75"/>
      <c r="X836" s="117"/>
      <c r="Y836" s="111"/>
      <c r="Z836" s="111"/>
      <c r="AH836" s="5"/>
      <c r="AI836" s="5"/>
    </row>
    <row r="837" spans="1:35">
      <c r="A837" s="51"/>
      <c r="B837" s="51"/>
      <c r="C837" s="5"/>
      <c r="D837" s="51"/>
      <c r="E837" s="51"/>
      <c r="F837" s="55"/>
      <c r="G837" s="56"/>
      <c r="H837" s="57"/>
      <c r="I837" s="51"/>
      <c r="J837" s="51"/>
      <c r="K837" s="134"/>
      <c r="L837" s="59"/>
      <c r="M837" s="134"/>
      <c r="N837" s="134"/>
      <c r="O837" s="51"/>
      <c r="P837" s="51"/>
      <c r="Q837" s="37"/>
      <c r="R837" s="70"/>
      <c r="S837" s="70"/>
      <c r="T837" s="70"/>
      <c r="U837" s="71"/>
      <c r="V837" s="73"/>
      <c r="W837" s="75"/>
      <c r="X837" s="117"/>
      <c r="Y837" s="111"/>
      <c r="Z837" s="111"/>
      <c r="AH837" s="5"/>
      <c r="AI837" s="5"/>
    </row>
    <row r="838" spans="1:35">
      <c r="A838" s="51"/>
      <c r="B838" s="51"/>
      <c r="C838" s="5"/>
      <c r="D838" s="51"/>
      <c r="E838" s="51"/>
      <c r="F838" s="55"/>
      <c r="G838" s="56"/>
      <c r="H838" s="57"/>
      <c r="I838" s="51"/>
      <c r="J838" s="51"/>
      <c r="K838" s="134"/>
      <c r="L838" s="59"/>
      <c r="M838" s="134"/>
      <c r="N838" s="134"/>
      <c r="O838" s="51"/>
      <c r="P838" s="51"/>
      <c r="Q838" s="37"/>
      <c r="R838" s="70"/>
      <c r="S838" s="70"/>
      <c r="T838" s="70"/>
      <c r="U838" s="71"/>
      <c r="V838" s="73"/>
      <c r="W838" s="75"/>
      <c r="X838" s="117"/>
      <c r="Y838" s="111"/>
      <c r="Z838" s="111"/>
      <c r="AH838" s="5"/>
      <c r="AI838" s="5"/>
    </row>
    <row r="839" spans="1:35">
      <c r="A839" s="51"/>
      <c r="B839" s="51"/>
      <c r="C839" s="5"/>
      <c r="D839" s="51"/>
      <c r="E839" s="51"/>
      <c r="F839" s="55"/>
      <c r="G839" s="56"/>
      <c r="H839" s="57"/>
      <c r="I839" s="51"/>
      <c r="J839" s="51"/>
      <c r="K839" s="134"/>
      <c r="L839" s="59"/>
      <c r="M839" s="134"/>
      <c r="N839" s="134"/>
      <c r="O839" s="51"/>
      <c r="P839" s="51"/>
      <c r="Q839" s="37"/>
      <c r="R839" s="70"/>
      <c r="S839" s="70"/>
      <c r="T839" s="70"/>
      <c r="U839" s="71"/>
      <c r="V839" s="73"/>
      <c r="W839" s="75"/>
      <c r="X839" s="117"/>
      <c r="Y839" s="111"/>
      <c r="Z839" s="111"/>
      <c r="AH839" s="5"/>
      <c r="AI839" s="5"/>
    </row>
    <row r="840" spans="1:35">
      <c r="A840" s="51"/>
      <c r="B840" s="51"/>
      <c r="C840" s="5"/>
      <c r="D840" s="51"/>
      <c r="E840" s="51"/>
      <c r="F840" s="55"/>
      <c r="G840" s="56"/>
      <c r="H840" s="57"/>
      <c r="I840" s="51"/>
      <c r="J840" s="51"/>
      <c r="K840" s="134"/>
      <c r="L840" s="59"/>
      <c r="M840" s="134"/>
      <c r="N840" s="134"/>
      <c r="O840" s="51"/>
      <c r="P840" s="51"/>
      <c r="Q840" s="37"/>
      <c r="R840" s="70"/>
      <c r="S840" s="70"/>
      <c r="T840" s="70"/>
      <c r="U840" s="71"/>
      <c r="V840" s="73"/>
      <c r="W840" s="75"/>
      <c r="X840" s="117"/>
      <c r="Y840" s="111"/>
      <c r="Z840" s="111"/>
      <c r="AH840" s="5"/>
      <c r="AI840" s="5"/>
    </row>
    <row r="841" spans="1:35">
      <c r="A841" s="51"/>
      <c r="B841" s="51"/>
      <c r="C841" s="5"/>
      <c r="D841" s="51"/>
      <c r="E841" s="51"/>
      <c r="F841" s="55"/>
      <c r="G841" s="56"/>
      <c r="H841" s="57"/>
      <c r="I841" s="51"/>
      <c r="J841" s="51"/>
      <c r="K841" s="134"/>
      <c r="L841" s="59"/>
      <c r="M841" s="134"/>
      <c r="N841" s="134"/>
      <c r="O841" s="51"/>
      <c r="P841" s="51"/>
      <c r="Q841" s="37"/>
      <c r="R841" s="70"/>
      <c r="S841" s="70"/>
      <c r="T841" s="70"/>
      <c r="U841" s="71"/>
      <c r="V841" s="73"/>
      <c r="W841" s="75"/>
      <c r="X841" s="117"/>
      <c r="Y841" s="111"/>
      <c r="Z841" s="111"/>
      <c r="AH841" s="5"/>
      <c r="AI841" s="5"/>
    </row>
    <row r="842" spans="1:35">
      <c r="A842" s="51"/>
      <c r="B842" s="51"/>
      <c r="C842" s="5"/>
      <c r="D842" s="51"/>
      <c r="E842" s="51"/>
      <c r="F842" s="55"/>
      <c r="G842" s="56"/>
      <c r="H842" s="57"/>
      <c r="I842" s="51"/>
      <c r="J842" s="51"/>
      <c r="K842" s="134"/>
      <c r="L842" s="59"/>
      <c r="M842" s="134"/>
      <c r="N842" s="134"/>
      <c r="O842" s="51"/>
      <c r="P842" s="51"/>
      <c r="Q842" s="37"/>
      <c r="R842" s="70"/>
      <c r="S842" s="70"/>
      <c r="T842" s="70"/>
      <c r="U842" s="71"/>
      <c r="V842" s="73"/>
      <c r="W842" s="75"/>
      <c r="X842" s="117"/>
      <c r="Y842" s="111"/>
      <c r="Z842" s="111"/>
      <c r="AH842" s="5"/>
      <c r="AI842" s="5"/>
    </row>
    <row r="843" spans="1:35">
      <c r="A843" s="51"/>
      <c r="B843" s="51"/>
      <c r="C843" s="5"/>
      <c r="D843" s="51"/>
      <c r="E843" s="51"/>
      <c r="F843" s="55"/>
      <c r="G843" s="56"/>
      <c r="H843" s="57"/>
      <c r="I843" s="51"/>
      <c r="J843" s="51"/>
      <c r="K843" s="134"/>
      <c r="L843" s="59"/>
      <c r="M843" s="134"/>
      <c r="N843" s="134"/>
      <c r="O843" s="51"/>
      <c r="P843" s="51"/>
      <c r="Q843" s="37"/>
      <c r="R843" s="70"/>
      <c r="S843" s="70"/>
      <c r="T843" s="70"/>
      <c r="U843" s="71"/>
      <c r="V843" s="73"/>
      <c r="W843" s="75"/>
      <c r="X843" s="117"/>
      <c r="Y843" s="111"/>
      <c r="Z843" s="111"/>
      <c r="AH843" s="5"/>
      <c r="AI843" s="5"/>
    </row>
    <row r="844" spans="1:35">
      <c r="A844" s="51"/>
      <c r="B844" s="51"/>
      <c r="C844" s="5"/>
      <c r="D844" s="51"/>
      <c r="E844" s="51"/>
      <c r="F844" s="55"/>
      <c r="G844" s="56"/>
      <c r="H844" s="57"/>
      <c r="I844" s="51"/>
      <c r="J844" s="51"/>
      <c r="K844" s="134"/>
      <c r="L844" s="59"/>
      <c r="M844" s="134"/>
      <c r="N844" s="134"/>
      <c r="O844" s="51"/>
      <c r="P844" s="51"/>
      <c r="Q844" s="37"/>
      <c r="R844" s="70"/>
      <c r="S844" s="70"/>
      <c r="T844" s="70"/>
      <c r="U844" s="71"/>
      <c r="V844" s="73"/>
      <c r="W844" s="75"/>
      <c r="X844" s="117"/>
      <c r="Y844" s="111"/>
      <c r="Z844" s="111"/>
      <c r="AH844" s="5"/>
      <c r="AI844" s="5"/>
    </row>
    <row r="845" spans="1:35">
      <c r="A845" s="51"/>
      <c r="B845" s="51"/>
      <c r="C845" s="5"/>
      <c r="D845" s="51"/>
      <c r="E845" s="51"/>
      <c r="F845" s="55"/>
      <c r="G845" s="56"/>
      <c r="H845" s="57"/>
      <c r="I845" s="51"/>
      <c r="J845" s="51"/>
      <c r="K845" s="134"/>
      <c r="L845" s="59"/>
      <c r="M845" s="134"/>
      <c r="N845" s="134"/>
      <c r="O845" s="51"/>
      <c r="P845" s="51"/>
      <c r="Q845" s="37"/>
      <c r="R845" s="70"/>
      <c r="S845" s="70"/>
      <c r="T845" s="70"/>
      <c r="U845" s="71"/>
      <c r="V845" s="73"/>
      <c r="W845" s="75"/>
      <c r="X845" s="117"/>
      <c r="Y845" s="111"/>
      <c r="Z845" s="111"/>
      <c r="AH845" s="5"/>
      <c r="AI845" s="5"/>
    </row>
    <row r="846" spans="1:35">
      <c r="A846" s="51"/>
      <c r="B846" s="51"/>
      <c r="C846" s="5"/>
      <c r="D846" s="51"/>
      <c r="E846" s="51"/>
      <c r="F846" s="55"/>
      <c r="G846" s="56"/>
      <c r="H846" s="57"/>
      <c r="I846" s="51"/>
      <c r="J846" s="51"/>
      <c r="K846" s="134"/>
      <c r="L846" s="59"/>
      <c r="M846" s="134"/>
      <c r="N846" s="134"/>
      <c r="O846" s="51"/>
      <c r="P846" s="51"/>
      <c r="Q846" s="37"/>
      <c r="R846" s="70"/>
      <c r="S846" s="70"/>
      <c r="T846" s="70"/>
      <c r="U846" s="71"/>
      <c r="V846" s="73"/>
      <c r="W846" s="75"/>
      <c r="X846" s="117"/>
      <c r="Y846" s="111"/>
      <c r="Z846" s="111"/>
      <c r="AH846" s="5"/>
      <c r="AI846" s="5"/>
    </row>
    <row r="847" spans="1:35">
      <c r="A847" s="51"/>
      <c r="B847" s="51"/>
      <c r="C847" s="5"/>
      <c r="D847" s="51"/>
      <c r="E847" s="51"/>
      <c r="F847" s="55"/>
      <c r="G847" s="56"/>
      <c r="H847" s="57"/>
      <c r="I847" s="51"/>
      <c r="J847" s="51"/>
      <c r="K847" s="134"/>
      <c r="L847" s="59"/>
      <c r="M847" s="134"/>
      <c r="N847" s="134"/>
      <c r="O847" s="51"/>
      <c r="P847" s="51"/>
      <c r="Q847" s="37"/>
      <c r="R847" s="70"/>
      <c r="S847" s="70"/>
      <c r="T847" s="70"/>
      <c r="U847" s="71"/>
      <c r="V847" s="73"/>
      <c r="W847" s="75"/>
      <c r="X847" s="117"/>
      <c r="Y847" s="111"/>
      <c r="Z847" s="111"/>
      <c r="AH847" s="5"/>
      <c r="AI847" s="5"/>
    </row>
    <row r="848" spans="1:35">
      <c r="A848" s="51"/>
      <c r="B848" s="51"/>
      <c r="C848" s="5"/>
      <c r="D848" s="51"/>
      <c r="E848" s="51"/>
      <c r="F848" s="55"/>
      <c r="G848" s="56"/>
      <c r="H848" s="57"/>
      <c r="I848" s="51"/>
      <c r="J848" s="51"/>
      <c r="K848" s="134"/>
      <c r="L848" s="59"/>
      <c r="M848" s="134"/>
      <c r="N848" s="134"/>
      <c r="O848" s="51"/>
      <c r="P848" s="51"/>
      <c r="Q848" s="37"/>
      <c r="R848" s="70"/>
      <c r="S848" s="70"/>
      <c r="T848" s="70"/>
      <c r="U848" s="71"/>
      <c r="V848" s="73"/>
      <c r="W848" s="75"/>
      <c r="X848" s="117"/>
      <c r="Y848" s="111"/>
      <c r="Z848" s="111"/>
      <c r="AH848" s="5"/>
      <c r="AI848" s="5"/>
    </row>
    <row r="849" spans="1:35">
      <c r="A849" s="51"/>
      <c r="B849" s="51"/>
      <c r="C849" s="5"/>
      <c r="D849" s="51"/>
      <c r="E849" s="51"/>
      <c r="F849" s="55"/>
      <c r="G849" s="56"/>
      <c r="H849" s="57"/>
      <c r="I849" s="51"/>
      <c r="J849" s="51"/>
      <c r="K849" s="134"/>
      <c r="L849" s="59"/>
      <c r="M849" s="134"/>
      <c r="N849" s="134"/>
      <c r="O849" s="51"/>
      <c r="P849" s="51"/>
      <c r="Q849" s="37"/>
      <c r="R849" s="70"/>
      <c r="S849" s="70"/>
      <c r="T849" s="70"/>
      <c r="U849" s="71"/>
      <c r="V849" s="73"/>
      <c r="W849" s="75"/>
      <c r="X849" s="117"/>
      <c r="Y849" s="111"/>
      <c r="Z849" s="111"/>
      <c r="AH849" s="5"/>
      <c r="AI849" s="5"/>
    </row>
    <row r="850" spans="1:35">
      <c r="A850" s="51"/>
      <c r="B850" s="51"/>
      <c r="C850" s="5"/>
      <c r="D850" s="51"/>
      <c r="E850" s="51"/>
      <c r="F850" s="55"/>
      <c r="G850" s="56"/>
      <c r="H850" s="57"/>
      <c r="I850" s="51"/>
      <c r="J850" s="51"/>
      <c r="K850" s="134"/>
      <c r="L850" s="59"/>
      <c r="M850" s="134"/>
      <c r="N850" s="134"/>
      <c r="O850" s="51"/>
      <c r="P850" s="51"/>
      <c r="Q850" s="37"/>
      <c r="R850" s="70"/>
      <c r="S850" s="70"/>
      <c r="T850" s="70"/>
      <c r="U850" s="71"/>
      <c r="V850" s="73"/>
      <c r="W850" s="75"/>
      <c r="X850" s="117"/>
      <c r="Y850" s="111"/>
      <c r="Z850" s="111"/>
      <c r="AH850" s="5"/>
      <c r="AI850" s="5"/>
    </row>
    <row r="851" spans="1:35">
      <c r="A851" s="51"/>
      <c r="B851" s="51"/>
      <c r="C851" s="5"/>
      <c r="D851" s="51"/>
      <c r="E851" s="51"/>
      <c r="F851" s="55"/>
      <c r="G851" s="56"/>
      <c r="H851" s="57"/>
      <c r="I851" s="51"/>
      <c r="J851" s="51"/>
      <c r="K851" s="134"/>
      <c r="L851" s="59"/>
      <c r="M851" s="134"/>
      <c r="N851" s="134"/>
      <c r="O851" s="51"/>
      <c r="P851" s="51"/>
      <c r="Q851" s="37"/>
      <c r="R851" s="70"/>
      <c r="S851" s="70"/>
      <c r="T851" s="70"/>
      <c r="U851" s="71"/>
      <c r="V851" s="73"/>
      <c r="W851" s="75"/>
      <c r="X851" s="117"/>
      <c r="Y851" s="111"/>
      <c r="Z851" s="111"/>
      <c r="AH851" s="5"/>
      <c r="AI851" s="5"/>
    </row>
    <row r="852" spans="1:35">
      <c r="A852" s="51"/>
      <c r="B852" s="51"/>
      <c r="C852" s="5"/>
      <c r="D852" s="51"/>
      <c r="E852" s="51"/>
      <c r="F852" s="55"/>
      <c r="G852" s="56"/>
      <c r="H852" s="57"/>
      <c r="I852" s="51"/>
      <c r="J852" s="51"/>
      <c r="K852" s="134"/>
      <c r="L852" s="59"/>
      <c r="M852" s="134"/>
      <c r="N852" s="134"/>
      <c r="O852" s="51"/>
      <c r="P852" s="51"/>
      <c r="Q852" s="37"/>
      <c r="R852" s="70"/>
      <c r="S852" s="70"/>
      <c r="T852" s="70"/>
      <c r="U852" s="71"/>
      <c r="V852" s="73"/>
      <c r="W852" s="75"/>
      <c r="X852" s="117"/>
      <c r="Y852" s="111"/>
      <c r="Z852" s="111"/>
      <c r="AH852" s="5"/>
      <c r="AI852" s="5"/>
    </row>
    <row r="853" spans="1:35">
      <c r="A853" s="51"/>
      <c r="B853" s="51"/>
      <c r="C853" s="5"/>
      <c r="D853" s="51"/>
      <c r="E853" s="51"/>
      <c r="F853" s="55"/>
      <c r="G853" s="56"/>
      <c r="H853" s="57"/>
      <c r="I853" s="51"/>
      <c r="J853" s="51"/>
      <c r="K853" s="134"/>
      <c r="L853" s="59"/>
      <c r="M853" s="134"/>
      <c r="N853" s="134"/>
      <c r="O853" s="51"/>
      <c r="P853" s="51"/>
      <c r="Q853" s="37"/>
      <c r="R853" s="70"/>
      <c r="S853" s="70"/>
      <c r="T853" s="70"/>
      <c r="U853" s="71"/>
      <c r="V853" s="73"/>
      <c r="W853" s="75"/>
      <c r="X853" s="117"/>
      <c r="Y853" s="111"/>
      <c r="Z853" s="111"/>
      <c r="AH853" s="5"/>
      <c r="AI853" s="5"/>
    </row>
    <row r="854" spans="1:35">
      <c r="A854" s="51"/>
      <c r="B854" s="51"/>
      <c r="C854" s="5"/>
      <c r="D854" s="51"/>
      <c r="E854" s="51"/>
      <c r="F854" s="55"/>
      <c r="G854" s="56"/>
      <c r="H854" s="57"/>
      <c r="I854" s="51"/>
      <c r="J854" s="51"/>
      <c r="K854" s="134"/>
      <c r="L854" s="59"/>
      <c r="M854" s="134"/>
      <c r="N854" s="134"/>
      <c r="O854" s="51"/>
      <c r="P854" s="51"/>
      <c r="Q854" s="37"/>
      <c r="R854" s="70"/>
      <c r="S854" s="70"/>
      <c r="T854" s="70"/>
      <c r="U854" s="71"/>
      <c r="V854" s="73"/>
      <c r="W854" s="75"/>
      <c r="X854" s="117"/>
      <c r="Y854" s="111"/>
      <c r="Z854" s="111"/>
      <c r="AH854" s="5"/>
      <c r="AI854" s="5"/>
    </row>
    <row r="855" spans="1:35">
      <c r="A855" s="51"/>
      <c r="B855" s="51"/>
      <c r="C855" s="5"/>
      <c r="D855" s="51"/>
      <c r="E855" s="51"/>
      <c r="F855" s="55"/>
      <c r="G855" s="56"/>
      <c r="H855" s="57"/>
      <c r="I855" s="51"/>
      <c r="J855" s="51"/>
      <c r="K855" s="134"/>
      <c r="L855" s="59"/>
      <c r="M855" s="134"/>
      <c r="N855" s="134"/>
      <c r="O855" s="51"/>
      <c r="P855" s="51"/>
      <c r="Q855" s="37"/>
      <c r="R855" s="70"/>
      <c r="S855" s="70"/>
      <c r="T855" s="70"/>
      <c r="U855" s="71"/>
      <c r="V855" s="73"/>
      <c r="W855" s="75"/>
      <c r="X855" s="117"/>
      <c r="Y855" s="111"/>
      <c r="Z855" s="111"/>
      <c r="AH855" s="5"/>
      <c r="AI855" s="5"/>
    </row>
    <row r="856" spans="1:35">
      <c r="A856" s="51"/>
      <c r="B856" s="51"/>
      <c r="C856" s="5"/>
      <c r="D856" s="51"/>
      <c r="E856" s="51"/>
      <c r="F856" s="55"/>
      <c r="G856" s="56"/>
      <c r="H856" s="57"/>
      <c r="I856" s="51"/>
      <c r="J856" s="51"/>
      <c r="K856" s="134"/>
      <c r="L856" s="59"/>
      <c r="M856" s="134"/>
      <c r="N856" s="134"/>
      <c r="O856" s="51"/>
      <c r="P856" s="51"/>
      <c r="Q856" s="37"/>
      <c r="R856" s="70"/>
      <c r="S856" s="70"/>
      <c r="T856" s="70"/>
      <c r="U856" s="71"/>
      <c r="V856" s="73"/>
      <c r="W856" s="75"/>
      <c r="X856" s="117"/>
      <c r="Y856" s="111"/>
      <c r="Z856" s="111"/>
      <c r="AH856" s="5"/>
      <c r="AI856" s="5"/>
    </row>
    <row r="857" spans="1:35">
      <c r="A857" s="51"/>
      <c r="B857" s="51"/>
      <c r="C857" s="5"/>
      <c r="D857" s="51"/>
      <c r="E857" s="51"/>
      <c r="F857" s="55"/>
      <c r="G857" s="56"/>
      <c r="H857" s="57"/>
      <c r="I857" s="51"/>
      <c r="J857" s="51"/>
      <c r="K857" s="134"/>
      <c r="L857" s="59"/>
      <c r="M857" s="134"/>
      <c r="N857" s="134"/>
      <c r="O857" s="51"/>
      <c r="P857" s="51"/>
      <c r="Q857" s="37"/>
      <c r="R857" s="70"/>
      <c r="S857" s="70"/>
      <c r="T857" s="70"/>
      <c r="U857" s="71"/>
      <c r="V857" s="73"/>
      <c r="W857" s="75"/>
      <c r="X857" s="117"/>
      <c r="Y857" s="111"/>
      <c r="Z857" s="111"/>
      <c r="AH857" s="5"/>
      <c r="AI857" s="5"/>
    </row>
    <row r="858" spans="1:35">
      <c r="A858" s="51"/>
      <c r="B858" s="51"/>
      <c r="C858" s="5"/>
      <c r="D858" s="51"/>
      <c r="E858" s="51"/>
      <c r="F858" s="55"/>
      <c r="G858" s="56"/>
      <c r="H858" s="57"/>
      <c r="I858" s="51"/>
      <c r="J858" s="51"/>
      <c r="K858" s="134"/>
      <c r="L858" s="59"/>
      <c r="M858" s="134"/>
      <c r="N858" s="134"/>
      <c r="O858" s="51"/>
      <c r="P858" s="51"/>
      <c r="Q858" s="37"/>
      <c r="R858" s="70"/>
      <c r="S858" s="70"/>
      <c r="T858" s="70"/>
      <c r="U858" s="71"/>
      <c r="V858" s="73"/>
      <c r="W858" s="75"/>
      <c r="X858" s="117"/>
      <c r="Y858" s="111"/>
      <c r="Z858" s="111"/>
      <c r="AH858" s="5"/>
      <c r="AI858" s="5"/>
    </row>
    <row r="859" spans="1:35">
      <c r="A859" s="51"/>
      <c r="B859" s="51"/>
      <c r="C859" s="5"/>
      <c r="D859" s="51"/>
      <c r="E859" s="51"/>
      <c r="F859" s="55"/>
      <c r="G859" s="56"/>
      <c r="H859" s="57"/>
      <c r="I859" s="51"/>
      <c r="J859" s="51"/>
      <c r="K859" s="134"/>
      <c r="L859" s="59"/>
      <c r="M859" s="134"/>
      <c r="N859" s="134"/>
      <c r="O859" s="51"/>
      <c r="P859" s="51"/>
      <c r="Q859" s="37"/>
      <c r="R859" s="70"/>
      <c r="S859" s="70"/>
      <c r="T859" s="70"/>
      <c r="U859" s="71"/>
      <c r="V859" s="73"/>
      <c r="W859" s="75"/>
      <c r="X859" s="117"/>
      <c r="Y859" s="111"/>
      <c r="Z859" s="111"/>
      <c r="AH859" s="5"/>
      <c r="AI859" s="5"/>
    </row>
    <row r="860" spans="1:35">
      <c r="A860" s="51"/>
      <c r="B860" s="51"/>
      <c r="C860" s="5"/>
      <c r="D860" s="51"/>
      <c r="E860" s="51"/>
      <c r="F860" s="55"/>
      <c r="G860" s="56"/>
      <c r="H860" s="57"/>
      <c r="I860" s="51"/>
      <c r="J860" s="51"/>
      <c r="K860" s="134"/>
      <c r="L860" s="59"/>
      <c r="M860" s="134"/>
      <c r="N860" s="134"/>
      <c r="O860" s="51"/>
      <c r="P860" s="51"/>
      <c r="Q860" s="37"/>
      <c r="R860" s="70"/>
      <c r="S860" s="70"/>
      <c r="T860" s="70"/>
      <c r="U860" s="71"/>
      <c r="V860" s="73"/>
      <c r="W860" s="75"/>
      <c r="X860" s="117"/>
      <c r="Y860" s="111"/>
      <c r="Z860" s="111"/>
      <c r="AH860" s="5"/>
      <c r="AI860" s="5"/>
    </row>
    <row r="861" spans="1:35">
      <c r="A861" s="51"/>
      <c r="B861" s="51"/>
      <c r="C861" s="5"/>
      <c r="D861" s="51"/>
      <c r="E861" s="51"/>
      <c r="F861" s="55"/>
      <c r="G861" s="56"/>
      <c r="H861" s="57"/>
      <c r="I861" s="51"/>
      <c r="J861" s="51"/>
      <c r="K861" s="134"/>
      <c r="L861" s="59"/>
      <c r="M861" s="134"/>
      <c r="N861" s="134"/>
      <c r="O861" s="51"/>
      <c r="P861" s="51"/>
      <c r="Q861" s="37"/>
      <c r="R861" s="70"/>
      <c r="S861" s="70"/>
      <c r="T861" s="70"/>
      <c r="U861" s="71"/>
      <c r="V861" s="73"/>
      <c r="W861" s="75"/>
      <c r="X861" s="117"/>
      <c r="Y861" s="111"/>
      <c r="Z861" s="111"/>
      <c r="AH861" s="5"/>
      <c r="AI861" s="5"/>
    </row>
    <row r="862" spans="1:35">
      <c r="A862" s="51"/>
      <c r="B862" s="51"/>
      <c r="C862" s="5"/>
      <c r="D862" s="51"/>
      <c r="E862" s="51"/>
      <c r="F862" s="55"/>
      <c r="G862" s="56"/>
      <c r="H862" s="57"/>
      <c r="I862" s="51"/>
      <c r="J862" s="51"/>
      <c r="K862" s="134"/>
      <c r="L862" s="59"/>
      <c r="M862" s="134"/>
      <c r="N862" s="134"/>
      <c r="O862" s="51"/>
      <c r="P862" s="51"/>
      <c r="Q862" s="37"/>
      <c r="R862" s="70"/>
      <c r="S862" s="70"/>
      <c r="T862" s="70"/>
      <c r="U862" s="71"/>
      <c r="V862" s="73"/>
      <c r="W862" s="75"/>
      <c r="X862" s="117"/>
      <c r="Y862" s="111"/>
      <c r="Z862" s="111"/>
      <c r="AH862" s="5"/>
      <c r="AI862" s="5"/>
    </row>
    <row r="863" spans="1:35">
      <c r="A863" s="51"/>
      <c r="B863" s="51"/>
      <c r="C863" s="5"/>
      <c r="D863" s="51"/>
      <c r="E863" s="51"/>
      <c r="F863" s="55"/>
      <c r="G863" s="56"/>
      <c r="H863" s="57"/>
      <c r="I863" s="51"/>
      <c r="J863" s="51"/>
      <c r="K863" s="134"/>
      <c r="L863" s="59"/>
      <c r="M863" s="134"/>
      <c r="N863" s="134"/>
      <c r="O863" s="51"/>
      <c r="P863" s="51"/>
      <c r="Q863" s="37"/>
      <c r="R863" s="70"/>
      <c r="S863" s="70"/>
      <c r="T863" s="70"/>
      <c r="U863" s="71"/>
      <c r="V863" s="73"/>
      <c r="W863" s="75"/>
      <c r="X863" s="117"/>
      <c r="Y863" s="111"/>
      <c r="Z863" s="111"/>
      <c r="AH863" s="5"/>
      <c r="AI863" s="5"/>
    </row>
    <row r="864" spans="1:35">
      <c r="A864" s="51"/>
      <c r="B864" s="51"/>
      <c r="C864" s="5"/>
      <c r="D864" s="51"/>
      <c r="E864" s="51"/>
      <c r="F864" s="55"/>
      <c r="G864" s="56"/>
      <c r="H864" s="57"/>
      <c r="I864" s="51"/>
      <c r="J864" s="51"/>
      <c r="K864" s="134"/>
      <c r="L864" s="59"/>
      <c r="M864" s="134"/>
      <c r="N864" s="134"/>
      <c r="O864" s="51"/>
      <c r="P864" s="51"/>
      <c r="Q864" s="37"/>
      <c r="R864" s="70"/>
      <c r="S864" s="70"/>
      <c r="T864" s="70"/>
      <c r="U864" s="71"/>
      <c r="V864" s="73"/>
      <c r="W864" s="75"/>
      <c r="X864" s="117"/>
      <c r="Y864" s="111"/>
      <c r="Z864" s="111"/>
      <c r="AH864" s="5"/>
      <c r="AI864" s="5"/>
    </row>
    <row r="865" spans="1:35">
      <c r="A865" s="51"/>
      <c r="B865" s="51"/>
      <c r="C865" s="5"/>
      <c r="D865" s="51"/>
      <c r="E865" s="51"/>
      <c r="F865" s="55"/>
      <c r="G865" s="56"/>
      <c r="H865" s="57"/>
      <c r="I865" s="51"/>
      <c r="J865" s="51"/>
      <c r="K865" s="134"/>
      <c r="L865" s="59"/>
      <c r="M865" s="134"/>
      <c r="N865" s="134"/>
      <c r="O865" s="51"/>
      <c r="P865" s="51"/>
      <c r="Q865" s="37"/>
      <c r="R865" s="70"/>
      <c r="S865" s="70"/>
      <c r="T865" s="70"/>
      <c r="U865" s="71"/>
      <c r="V865" s="73"/>
      <c r="W865" s="75"/>
      <c r="X865" s="117"/>
      <c r="Y865" s="111"/>
      <c r="Z865" s="111"/>
      <c r="AH865" s="5"/>
      <c r="AI865" s="5"/>
    </row>
    <row r="866" spans="1:35">
      <c r="A866" s="51"/>
      <c r="B866" s="51"/>
      <c r="C866" s="5"/>
      <c r="D866" s="51"/>
      <c r="E866" s="51"/>
      <c r="F866" s="55"/>
      <c r="G866" s="56"/>
      <c r="H866" s="57"/>
      <c r="I866" s="51"/>
      <c r="J866" s="51"/>
      <c r="K866" s="134"/>
      <c r="L866" s="59"/>
      <c r="M866" s="134"/>
      <c r="N866" s="134"/>
      <c r="O866" s="51"/>
      <c r="P866" s="51"/>
      <c r="Q866" s="37"/>
      <c r="R866" s="70"/>
      <c r="S866" s="70"/>
      <c r="T866" s="70"/>
      <c r="U866" s="71"/>
      <c r="V866" s="73"/>
      <c r="W866" s="75"/>
      <c r="X866" s="117"/>
      <c r="Y866" s="111"/>
      <c r="Z866" s="111"/>
      <c r="AH866" s="5"/>
      <c r="AI866" s="5"/>
    </row>
    <row r="867" spans="1:35">
      <c r="A867" s="51"/>
      <c r="B867" s="51"/>
      <c r="C867" s="5"/>
      <c r="D867" s="51"/>
      <c r="E867" s="51"/>
      <c r="F867" s="55"/>
      <c r="G867" s="56"/>
      <c r="H867" s="57"/>
      <c r="I867" s="51"/>
      <c r="J867" s="51"/>
      <c r="K867" s="134"/>
      <c r="L867" s="59"/>
      <c r="M867" s="134"/>
      <c r="N867" s="134"/>
      <c r="O867" s="51"/>
      <c r="P867" s="51"/>
      <c r="Q867" s="37"/>
      <c r="R867" s="70"/>
      <c r="S867" s="70"/>
      <c r="T867" s="70"/>
      <c r="U867" s="71"/>
      <c r="V867" s="73"/>
      <c r="W867" s="75"/>
      <c r="X867" s="117"/>
      <c r="Y867" s="111"/>
      <c r="Z867" s="111"/>
      <c r="AH867" s="5"/>
      <c r="AI867" s="5"/>
    </row>
    <row r="868" spans="1:35">
      <c r="A868" s="51"/>
      <c r="B868" s="51"/>
      <c r="C868" s="5"/>
      <c r="D868" s="51"/>
      <c r="E868" s="51"/>
      <c r="F868" s="55"/>
      <c r="G868" s="56"/>
      <c r="H868" s="57"/>
      <c r="I868" s="51"/>
      <c r="J868" s="51"/>
      <c r="K868" s="134"/>
      <c r="L868" s="59"/>
      <c r="M868" s="134"/>
      <c r="N868" s="134"/>
      <c r="O868" s="51"/>
      <c r="P868" s="51"/>
      <c r="Q868" s="37"/>
      <c r="R868" s="70"/>
      <c r="S868" s="70"/>
      <c r="T868" s="70"/>
      <c r="U868" s="71"/>
      <c r="V868" s="73"/>
      <c r="W868" s="75"/>
      <c r="X868" s="117"/>
      <c r="Y868" s="111"/>
      <c r="Z868" s="111"/>
      <c r="AH868" s="5"/>
      <c r="AI868" s="5"/>
    </row>
    <row r="869" spans="1:35">
      <c r="A869" s="51"/>
      <c r="B869" s="51"/>
      <c r="C869" s="5"/>
      <c r="D869" s="51"/>
      <c r="E869" s="51"/>
      <c r="F869" s="55"/>
      <c r="G869" s="56"/>
      <c r="H869" s="57"/>
      <c r="I869" s="51"/>
      <c r="J869" s="51"/>
      <c r="K869" s="134"/>
      <c r="L869" s="59"/>
      <c r="M869" s="134"/>
      <c r="N869" s="134"/>
      <c r="O869" s="51"/>
      <c r="P869" s="51"/>
      <c r="Q869" s="37"/>
      <c r="R869" s="70"/>
      <c r="S869" s="70"/>
      <c r="T869" s="70"/>
      <c r="U869" s="71"/>
      <c r="V869" s="73"/>
      <c r="W869" s="75"/>
      <c r="X869" s="117"/>
      <c r="Y869" s="111"/>
      <c r="Z869" s="111"/>
      <c r="AH869" s="5"/>
      <c r="AI869" s="5"/>
    </row>
    <row r="870" spans="1:35">
      <c r="A870" s="51"/>
      <c r="B870" s="51"/>
      <c r="C870" s="5"/>
      <c r="D870" s="51"/>
      <c r="E870" s="51"/>
      <c r="F870" s="55"/>
      <c r="G870" s="56"/>
      <c r="H870" s="57"/>
      <c r="I870" s="51"/>
      <c r="J870" s="51"/>
      <c r="K870" s="134"/>
      <c r="L870" s="59"/>
      <c r="M870" s="134"/>
      <c r="N870" s="134"/>
      <c r="O870" s="51"/>
      <c r="P870" s="51"/>
      <c r="Q870" s="37"/>
      <c r="R870" s="70"/>
      <c r="S870" s="70"/>
      <c r="T870" s="70"/>
      <c r="U870" s="71"/>
      <c r="V870" s="73"/>
      <c r="W870" s="75"/>
      <c r="X870" s="117"/>
      <c r="Y870" s="111"/>
      <c r="Z870" s="111"/>
      <c r="AH870" s="5"/>
      <c r="AI870" s="5"/>
    </row>
    <row r="871" spans="1:35">
      <c r="A871" s="51"/>
      <c r="B871" s="51"/>
      <c r="C871" s="5"/>
      <c r="D871" s="51"/>
      <c r="E871" s="51"/>
      <c r="F871" s="55"/>
      <c r="G871" s="56"/>
      <c r="H871" s="57"/>
      <c r="I871" s="51"/>
      <c r="J871" s="51"/>
      <c r="K871" s="134"/>
      <c r="L871" s="59"/>
      <c r="M871" s="134"/>
      <c r="N871" s="134"/>
      <c r="O871" s="51"/>
      <c r="P871" s="51"/>
      <c r="Q871" s="37"/>
      <c r="R871" s="70"/>
      <c r="S871" s="70"/>
      <c r="T871" s="70"/>
      <c r="U871" s="71"/>
      <c r="V871" s="73"/>
      <c r="W871" s="75"/>
      <c r="X871" s="117"/>
      <c r="Y871" s="111"/>
      <c r="Z871" s="111"/>
      <c r="AH871" s="5"/>
      <c r="AI871" s="5"/>
    </row>
    <row r="872" spans="1:35">
      <c r="A872" s="51"/>
      <c r="B872" s="51"/>
      <c r="C872" s="5"/>
      <c r="D872" s="51"/>
      <c r="E872" s="51"/>
      <c r="F872" s="55"/>
      <c r="G872" s="56"/>
      <c r="H872" s="57"/>
      <c r="I872" s="51"/>
      <c r="J872" s="51"/>
      <c r="K872" s="134"/>
      <c r="L872" s="59"/>
      <c r="M872" s="134"/>
      <c r="N872" s="134"/>
      <c r="O872" s="51"/>
      <c r="P872" s="51"/>
      <c r="Q872" s="37"/>
      <c r="R872" s="70"/>
      <c r="S872" s="70"/>
      <c r="T872" s="70"/>
      <c r="U872" s="71"/>
      <c r="V872" s="73"/>
      <c r="W872" s="75"/>
      <c r="X872" s="117"/>
      <c r="Y872" s="111"/>
      <c r="Z872" s="111"/>
      <c r="AH872" s="5"/>
      <c r="AI872" s="5"/>
    </row>
    <row r="873" spans="1:35">
      <c r="A873" s="51"/>
      <c r="B873" s="51"/>
      <c r="C873" s="5"/>
      <c r="D873" s="51"/>
      <c r="E873" s="51"/>
      <c r="F873" s="55"/>
      <c r="G873" s="56"/>
      <c r="H873" s="57"/>
      <c r="I873" s="51"/>
      <c r="J873" s="51"/>
      <c r="K873" s="134"/>
      <c r="L873" s="59"/>
      <c r="M873" s="134"/>
      <c r="N873" s="134"/>
      <c r="O873" s="51"/>
      <c r="P873" s="51"/>
      <c r="Q873" s="37"/>
      <c r="R873" s="70"/>
      <c r="S873" s="70"/>
      <c r="T873" s="70"/>
      <c r="U873" s="71"/>
      <c r="V873" s="73"/>
      <c r="W873" s="75"/>
      <c r="X873" s="117"/>
      <c r="Y873" s="111"/>
      <c r="Z873" s="111"/>
      <c r="AH873" s="5"/>
      <c r="AI873" s="5"/>
    </row>
    <row r="874" spans="1:35">
      <c r="A874" s="51"/>
      <c r="B874" s="51"/>
      <c r="C874" s="5"/>
      <c r="D874" s="51"/>
      <c r="E874" s="51"/>
      <c r="F874" s="55"/>
      <c r="G874" s="56"/>
      <c r="H874" s="57"/>
      <c r="I874" s="51"/>
      <c r="J874" s="51"/>
      <c r="K874" s="134"/>
      <c r="L874" s="59"/>
      <c r="M874" s="134"/>
      <c r="N874" s="134"/>
      <c r="O874" s="51"/>
      <c r="P874" s="51"/>
      <c r="Q874" s="37"/>
      <c r="R874" s="70"/>
      <c r="S874" s="70"/>
      <c r="T874" s="70"/>
      <c r="U874" s="71"/>
      <c r="V874" s="73"/>
      <c r="W874" s="75"/>
      <c r="X874" s="117"/>
      <c r="Y874" s="111"/>
      <c r="Z874" s="111"/>
      <c r="AH874" s="5"/>
      <c r="AI874" s="5"/>
    </row>
    <row r="875" spans="1:35">
      <c r="A875" s="51"/>
      <c r="B875" s="51"/>
      <c r="C875" s="5"/>
      <c r="D875" s="51"/>
      <c r="E875" s="51"/>
      <c r="F875" s="55"/>
      <c r="G875" s="56"/>
      <c r="H875" s="57"/>
      <c r="I875" s="51"/>
      <c r="J875" s="51"/>
      <c r="K875" s="134"/>
      <c r="L875" s="59"/>
      <c r="M875" s="134"/>
      <c r="N875" s="134"/>
      <c r="O875" s="51"/>
      <c r="P875" s="51"/>
      <c r="Q875" s="37"/>
      <c r="R875" s="70"/>
      <c r="S875" s="70"/>
      <c r="T875" s="70"/>
      <c r="U875" s="71"/>
      <c r="V875" s="73"/>
      <c r="W875" s="75"/>
      <c r="X875" s="117"/>
      <c r="Y875" s="111"/>
      <c r="Z875" s="111"/>
      <c r="AH875" s="5"/>
      <c r="AI875" s="5"/>
    </row>
    <row r="876" spans="1:35">
      <c r="A876" s="51"/>
      <c r="B876" s="51"/>
      <c r="C876" s="5"/>
      <c r="D876" s="51"/>
      <c r="E876" s="51"/>
      <c r="F876" s="55"/>
      <c r="G876" s="56"/>
      <c r="H876" s="57"/>
      <c r="I876" s="51"/>
      <c r="J876" s="51"/>
      <c r="K876" s="134"/>
      <c r="L876" s="59"/>
      <c r="M876" s="134"/>
      <c r="N876" s="134"/>
      <c r="O876" s="51"/>
      <c r="P876" s="51"/>
      <c r="Q876" s="37"/>
      <c r="R876" s="70"/>
      <c r="S876" s="70"/>
      <c r="T876" s="70"/>
      <c r="U876" s="71"/>
      <c r="V876" s="73"/>
      <c r="W876" s="75"/>
      <c r="X876" s="117"/>
      <c r="Y876" s="111"/>
      <c r="Z876" s="111"/>
      <c r="AH876" s="5"/>
      <c r="AI876" s="5"/>
    </row>
    <row r="877" spans="1:35">
      <c r="A877" s="51"/>
      <c r="B877" s="51"/>
      <c r="C877" s="5"/>
      <c r="D877" s="51"/>
      <c r="E877" s="51"/>
      <c r="F877" s="55"/>
      <c r="G877" s="56"/>
      <c r="H877" s="57"/>
      <c r="I877" s="51"/>
      <c r="J877" s="51"/>
      <c r="K877" s="134"/>
      <c r="L877" s="59"/>
      <c r="M877" s="134"/>
      <c r="N877" s="134"/>
      <c r="O877" s="51"/>
      <c r="P877" s="51"/>
      <c r="Q877" s="37"/>
      <c r="R877" s="70"/>
      <c r="S877" s="70"/>
      <c r="T877" s="70"/>
      <c r="U877" s="71"/>
      <c r="V877" s="73"/>
      <c r="W877" s="75"/>
      <c r="X877" s="117"/>
      <c r="Y877" s="111"/>
      <c r="Z877" s="111"/>
      <c r="AH877" s="5"/>
      <c r="AI877" s="5"/>
    </row>
    <row r="878" spans="1:35">
      <c r="A878" s="51"/>
      <c r="B878" s="51"/>
      <c r="C878" s="5"/>
      <c r="D878" s="51"/>
      <c r="E878" s="51"/>
      <c r="F878" s="55"/>
      <c r="G878" s="56"/>
      <c r="H878" s="57"/>
      <c r="I878" s="51"/>
      <c r="J878" s="51"/>
      <c r="K878" s="134"/>
      <c r="L878" s="59"/>
      <c r="M878" s="134"/>
      <c r="N878" s="134"/>
      <c r="O878" s="51"/>
      <c r="P878" s="51"/>
      <c r="Q878" s="37"/>
      <c r="R878" s="70"/>
      <c r="S878" s="70"/>
      <c r="T878" s="70"/>
      <c r="U878" s="71"/>
      <c r="V878" s="73"/>
      <c r="W878" s="75"/>
      <c r="X878" s="117"/>
      <c r="Y878" s="111"/>
      <c r="Z878" s="111"/>
      <c r="AH878" s="5"/>
      <c r="AI878" s="5"/>
    </row>
    <row r="879" spans="1:35">
      <c r="A879" s="51"/>
      <c r="B879" s="51"/>
      <c r="C879" s="5"/>
      <c r="D879" s="51"/>
      <c r="E879" s="51"/>
      <c r="F879" s="55"/>
      <c r="G879" s="56"/>
      <c r="H879" s="57"/>
      <c r="I879" s="51"/>
      <c r="J879" s="51"/>
      <c r="K879" s="134"/>
      <c r="L879" s="59"/>
      <c r="M879" s="134"/>
      <c r="N879" s="134"/>
      <c r="O879" s="51"/>
      <c r="P879" s="51"/>
      <c r="Q879" s="37"/>
      <c r="R879" s="70"/>
      <c r="S879" s="70"/>
      <c r="T879" s="70"/>
      <c r="U879" s="71"/>
      <c r="V879" s="73"/>
      <c r="W879" s="75"/>
      <c r="X879" s="117"/>
      <c r="Y879" s="111"/>
      <c r="Z879" s="111"/>
      <c r="AH879" s="5"/>
      <c r="AI879" s="5"/>
    </row>
    <row r="880" spans="1:35">
      <c r="A880" s="51"/>
      <c r="B880" s="51"/>
      <c r="C880" s="5"/>
      <c r="D880" s="51"/>
      <c r="E880" s="51"/>
      <c r="F880" s="55"/>
      <c r="G880" s="56"/>
      <c r="H880" s="57"/>
      <c r="I880" s="51"/>
      <c r="J880" s="51"/>
      <c r="K880" s="134"/>
      <c r="L880" s="59"/>
      <c r="M880" s="134"/>
      <c r="N880" s="134"/>
      <c r="O880" s="51"/>
      <c r="P880" s="51"/>
      <c r="Q880" s="37"/>
      <c r="R880" s="70"/>
      <c r="S880" s="70"/>
      <c r="T880" s="70"/>
      <c r="U880" s="71"/>
      <c r="V880" s="73"/>
      <c r="W880" s="75"/>
      <c r="X880" s="117"/>
      <c r="Y880" s="111"/>
      <c r="Z880" s="111"/>
      <c r="AH880" s="5"/>
      <c r="AI880" s="5"/>
    </row>
    <row r="881" spans="1:35">
      <c r="A881" s="51"/>
      <c r="B881" s="51"/>
      <c r="C881" s="5"/>
      <c r="D881" s="51"/>
      <c r="E881" s="51"/>
      <c r="F881" s="55"/>
      <c r="G881" s="56"/>
      <c r="H881" s="57"/>
      <c r="I881" s="51"/>
      <c r="J881" s="51"/>
      <c r="K881" s="134"/>
      <c r="L881" s="59"/>
      <c r="M881" s="134"/>
      <c r="N881" s="134"/>
      <c r="O881" s="51"/>
      <c r="P881" s="51"/>
      <c r="Q881" s="37"/>
      <c r="R881" s="70"/>
      <c r="S881" s="70"/>
      <c r="T881" s="70"/>
      <c r="U881" s="71"/>
      <c r="V881" s="73"/>
      <c r="W881" s="75"/>
      <c r="X881" s="117"/>
      <c r="Y881" s="111"/>
      <c r="Z881" s="111"/>
      <c r="AH881" s="5"/>
      <c r="AI881" s="5"/>
    </row>
    <row r="882" spans="1:35">
      <c r="A882" s="51"/>
      <c r="B882" s="51"/>
      <c r="C882" s="5"/>
      <c r="D882" s="51"/>
      <c r="E882" s="51"/>
      <c r="F882" s="55"/>
      <c r="G882" s="56"/>
      <c r="H882" s="57"/>
      <c r="I882" s="51"/>
      <c r="J882" s="51"/>
      <c r="K882" s="134"/>
      <c r="L882" s="59"/>
      <c r="M882" s="134"/>
      <c r="N882" s="134"/>
      <c r="O882" s="51"/>
      <c r="P882" s="51"/>
      <c r="Q882" s="37"/>
      <c r="R882" s="70"/>
      <c r="S882" s="70"/>
      <c r="T882" s="70"/>
      <c r="U882" s="71"/>
      <c r="V882" s="73"/>
      <c r="W882" s="75"/>
      <c r="X882" s="117"/>
      <c r="Y882" s="111"/>
      <c r="Z882" s="111"/>
      <c r="AH882" s="5"/>
      <c r="AI882" s="5"/>
    </row>
    <row r="883" spans="1:35">
      <c r="A883" s="51"/>
      <c r="B883" s="54"/>
      <c r="C883" s="5"/>
      <c r="D883" s="54"/>
      <c r="E883" s="51"/>
      <c r="F883" s="55"/>
      <c r="G883" s="56"/>
      <c r="H883" s="57"/>
      <c r="I883" s="51"/>
      <c r="J883" s="51"/>
      <c r="K883" s="134"/>
      <c r="L883" s="135"/>
      <c r="M883" s="134"/>
      <c r="N883" s="134"/>
      <c r="O883" s="51"/>
      <c r="P883" s="136"/>
      <c r="Q883" s="37"/>
      <c r="R883" s="70"/>
      <c r="S883" s="70"/>
      <c r="T883" s="70"/>
      <c r="U883" s="71"/>
      <c r="V883" s="73"/>
      <c r="W883" s="102"/>
      <c r="X883" s="117"/>
      <c r="Y883" s="111"/>
      <c r="Z883" s="111"/>
      <c r="AH883" s="5"/>
      <c r="AI883" s="5"/>
    </row>
    <row r="884" spans="1:35">
      <c r="A884" s="54"/>
      <c r="B884" s="54"/>
      <c r="C884" s="5"/>
      <c r="D884" s="54"/>
      <c r="E884" s="51"/>
      <c r="F884" s="137"/>
      <c r="G884" s="80"/>
      <c r="H884" s="76"/>
      <c r="I884" s="51"/>
      <c r="J884" s="51"/>
      <c r="K884" s="134"/>
      <c r="L884" s="135"/>
      <c r="M884" s="134"/>
      <c r="N884" s="134"/>
      <c r="O884" s="58"/>
      <c r="P884" s="136"/>
      <c r="Q884" s="37"/>
      <c r="R884" s="69"/>
      <c r="S884" s="69"/>
      <c r="T884" s="69"/>
      <c r="U884" s="61"/>
      <c r="V884" s="62"/>
      <c r="W884" s="83"/>
      <c r="X884" s="78"/>
      <c r="Y884" s="54"/>
      <c r="Z884" s="54"/>
      <c r="AH884" s="5"/>
      <c r="AI884" s="5"/>
    </row>
    <row r="885" spans="1:35">
      <c r="A885" s="54"/>
      <c r="B885" s="54"/>
      <c r="C885" s="5"/>
      <c r="D885" s="54"/>
      <c r="E885" s="51"/>
      <c r="F885" s="137"/>
      <c r="G885" s="80"/>
      <c r="H885" s="76"/>
      <c r="I885" s="51"/>
      <c r="J885" s="51"/>
      <c r="K885" s="134"/>
      <c r="L885" s="59"/>
      <c r="M885" s="134"/>
      <c r="N885" s="134"/>
      <c r="O885" s="58"/>
      <c r="P885" s="136"/>
      <c r="Q885" s="37"/>
      <c r="R885" s="74"/>
      <c r="S885" s="74"/>
      <c r="T885" s="74"/>
      <c r="U885" s="71"/>
      <c r="V885" s="73"/>
      <c r="W885" s="75"/>
      <c r="X885" s="78"/>
      <c r="Y885" s="54"/>
      <c r="Z885" s="54"/>
      <c r="AH885" s="5"/>
      <c r="AI885" s="5"/>
    </row>
    <row r="886" spans="1:35">
      <c r="A886" s="54"/>
      <c r="B886" s="54"/>
      <c r="C886" s="5"/>
      <c r="D886" s="54"/>
      <c r="E886" s="51"/>
      <c r="F886" s="137"/>
      <c r="G886" s="80"/>
      <c r="H886" s="76"/>
      <c r="I886" s="51"/>
      <c r="J886" s="51"/>
      <c r="K886" s="134"/>
      <c r="L886" s="59"/>
      <c r="M886" s="134"/>
      <c r="N886" s="134"/>
      <c r="O886" s="58"/>
      <c r="P886" s="136"/>
      <c r="Q886" s="37"/>
      <c r="R886" s="74"/>
      <c r="S886" s="74"/>
      <c r="T886" s="74"/>
      <c r="U886" s="71"/>
      <c r="V886" s="73"/>
      <c r="W886" s="75"/>
      <c r="X886" s="78"/>
      <c r="Y886" s="54"/>
      <c r="Z886" s="54"/>
      <c r="AH886" s="5"/>
      <c r="AI886" s="5"/>
    </row>
    <row r="887" spans="1:35">
      <c r="A887" s="54"/>
      <c r="B887" s="54"/>
      <c r="C887" s="5"/>
      <c r="D887" s="54"/>
      <c r="E887" s="51"/>
      <c r="F887" s="137"/>
      <c r="G887" s="80"/>
      <c r="H887" s="76"/>
      <c r="I887" s="51"/>
      <c r="J887" s="51"/>
      <c r="K887" s="134"/>
      <c r="L887" s="59"/>
      <c r="M887" s="134"/>
      <c r="N887" s="134"/>
      <c r="O887" s="58"/>
      <c r="P887" s="136"/>
      <c r="Q887" s="37"/>
      <c r="R887" s="74"/>
      <c r="S887" s="74"/>
      <c r="T887" s="74"/>
      <c r="U887" s="71"/>
      <c r="V887" s="73"/>
      <c r="W887" s="75"/>
      <c r="X887" s="78"/>
      <c r="Y887" s="54"/>
      <c r="Z887" s="54"/>
      <c r="AH887" s="5"/>
      <c r="AI887" s="5"/>
    </row>
    <row r="888" spans="1:35">
      <c r="A888" s="54"/>
      <c r="B888" s="54"/>
      <c r="C888" s="5"/>
      <c r="D888" s="54"/>
      <c r="E888" s="51"/>
      <c r="F888" s="76"/>
      <c r="G888" s="76"/>
      <c r="H888" s="76"/>
      <c r="I888" s="51"/>
      <c r="J888" s="51"/>
      <c r="K888" s="134"/>
      <c r="L888" s="59"/>
      <c r="M888" s="134"/>
      <c r="N888" s="134"/>
      <c r="O888" s="58"/>
      <c r="P888" s="136"/>
      <c r="Q888" s="37"/>
      <c r="R888" s="74"/>
      <c r="S888" s="74"/>
      <c r="T888" s="74"/>
      <c r="U888" s="71"/>
      <c r="V888" s="73"/>
      <c r="W888" s="75"/>
      <c r="X888" s="78"/>
      <c r="Y888" s="54"/>
      <c r="Z888" s="54"/>
      <c r="AH888" s="5"/>
      <c r="AI888" s="5"/>
    </row>
    <row r="889" spans="1:35">
      <c r="A889" s="54"/>
      <c r="B889" s="54"/>
      <c r="C889" s="5"/>
      <c r="D889" s="54"/>
      <c r="E889" s="51"/>
      <c r="F889" s="137"/>
      <c r="G889" s="76"/>
      <c r="H889" s="76"/>
      <c r="I889" s="51"/>
      <c r="J889" s="51"/>
      <c r="K889" s="134"/>
      <c r="L889" s="59"/>
      <c r="M889" s="134"/>
      <c r="N889" s="134"/>
      <c r="O889" s="58"/>
      <c r="P889" s="136"/>
      <c r="Q889" s="37"/>
      <c r="R889" s="74"/>
      <c r="S889" s="74"/>
      <c r="T889" s="74"/>
      <c r="U889" s="71"/>
      <c r="V889" s="73"/>
      <c r="W889" s="75"/>
      <c r="X889" s="78"/>
      <c r="Y889" s="54"/>
      <c r="Z889" s="54"/>
      <c r="AH889" s="5"/>
      <c r="AI889" s="5"/>
    </row>
    <row r="890" spans="1:35">
      <c r="A890" s="54"/>
      <c r="B890" s="54"/>
      <c r="C890" s="5"/>
      <c r="D890" s="54"/>
      <c r="E890" s="51"/>
      <c r="F890" s="137"/>
      <c r="G890" s="80"/>
      <c r="H890" s="57"/>
      <c r="I890" s="51"/>
      <c r="J890" s="51"/>
      <c r="K890" s="134"/>
      <c r="L890" s="59"/>
      <c r="M890" s="134"/>
      <c r="N890" s="134"/>
      <c r="O890" s="58"/>
      <c r="P890" s="136"/>
      <c r="Q890" s="37"/>
      <c r="R890" s="74"/>
      <c r="S890" s="74"/>
      <c r="T890" s="74"/>
      <c r="U890" s="71"/>
      <c r="V890" s="73"/>
      <c r="W890" s="75"/>
      <c r="X890" s="78"/>
      <c r="Y890" s="54"/>
      <c r="Z890" s="54"/>
      <c r="AH890" s="5"/>
      <c r="AI890" s="5"/>
    </row>
    <row r="891" spans="1:35">
      <c r="A891" s="54"/>
      <c r="B891" s="54"/>
      <c r="C891" s="5"/>
      <c r="D891" s="54"/>
      <c r="E891" s="51"/>
      <c r="F891" s="137"/>
      <c r="G891" s="80"/>
      <c r="H891" s="76"/>
      <c r="I891" s="51"/>
      <c r="J891" s="51"/>
      <c r="K891" s="134"/>
      <c r="L891" s="59"/>
      <c r="M891" s="134"/>
      <c r="N891" s="134"/>
      <c r="O891" s="58"/>
      <c r="P891" s="136"/>
      <c r="Q891" s="37"/>
      <c r="R891" s="74"/>
      <c r="S891" s="74"/>
      <c r="T891" s="74"/>
      <c r="U891" s="71"/>
      <c r="V891" s="73"/>
      <c r="W891" s="75"/>
      <c r="X891" s="78"/>
      <c r="Y891" s="54"/>
      <c r="Z891" s="54"/>
      <c r="AH891" s="5"/>
      <c r="AI891" s="5"/>
    </row>
    <row r="892" spans="1:35">
      <c r="A892" s="54"/>
      <c r="B892" s="54"/>
      <c r="C892" s="5"/>
      <c r="D892" s="54"/>
      <c r="E892" s="51"/>
      <c r="F892" s="137"/>
      <c r="G892" s="80"/>
      <c r="H892" s="76"/>
      <c r="I892" s="51"/>
      <c r="J892" s="51"/>
      <c r="K892" s="134"/>
      <c r="L892" s="59"/>
      <c r="M892" s="134"/>
      <c r="N892" s="134"/>
      <c r="O892" s="58"/>
      <c r="P892" s="136"/>
      <c r="Q892" s="37"/>
      <c r="R892" s="74"/>
      <c r="S892" s="74"/>
      <c r="T892" s="74"/>
      <c r="U892" s="71"/>
      <c r="V892" s="73"/>
      <c r="W892" s="75"/>
      <c r="X892" s="78"/>
      <c r="Y892" s="54"/>
      <c r="Z892" s="54"/>
      <c r="AH892" s="5"/>
      <c r="AI892" s="5"/>
    </row>
    <row r="893" spans="1:35">
      <c r="A893" s="107"/>
      <c r="B893" s="54"/>
      <c r="C893" s="5"/>
      <c r="D893" s="54"/>
      <c r="E893" s="51"/>
      <c r="F893" s="137"/>
      <c r="G893" s="54"/>
      <c r="H893" s="57"/>
      <c r="I893" s="51"/>
      <c r="J893" s="51"/>
      <c r="K893" s="134"/>
      <c r="L893" s="59"/>
      <c r="M893" s="134"/>
      <c r="N893" s="134"/>
      <c r="O893" s="58"/>
      <c r="P893" s="136"/>
      <c r="Q893" s="37"/>
      <c r="R893" s="74"/>
      <c r="S893" s="74"/>
      <c r="T893" s="74"/>
      <c r="U893" s="71"/>
      <c r="V893" s="73"/>
      <c r="W893" s="75"/>
      <c r="X893" s="138"/>
      <c r="AH893" s="5"/>
      <c r="AI893" s="5"/>
    </row>
    <row r="894" spans="1:35">
      <c r="A894" s="54"/>
      <c r="B894" s="54"/>
      <c r="C894" s="5"/>
      <c r="D894" s="54"/>
      <c r="E894" s="51"/>
      <c r="F894" s="137"/>
      <c r="G894" s="54"/>
      <c r="H894" s="57"/>
      <c r="I894" s="51"/>
      <c r="J894" s="51"/>
      <c r="K894" s="134"/>
      <c r="L894" s="59"/>
      <c r="M894" s="134"/>
      <c r="N894" s="134"/>
      <c r="O894" s="58"/>
      <c r="P894" s="136"/>
      <c r="Q894" s="37"/>
      <c r="R894" s="74"/>
      <c r="S894" s="74"/>
      <c r="T894" s="74"/>
      <c r="U894" s="71"/>
      <c r="V894" s="73"/>
      <c r="W894" s="75"/>
      <c r="X894" s="138"/>
      <c r="AH894" s="5"/>
      <c r="AI894" s="5"/>
    </row>
    <row r="895" spans="1:35">
      <c r="A895" s="107"/>
      <c r="B895" s="54"/>
      <c r="C895" s="5"/>
      <c r="D895" s="54"/>
      <c r="E895" s="51"/>
      <c r="F895" s="137"/>
      <c r="G895" s="54"/>
      <c r="H895" s="76"/>
      <c r="I895" s="51"/>
      <c r="J895" s="51"/>
      <c r="K895" s="134"/>
      <c r="L895" s="59"/>
      <c r="M895" s="134"/>
      <c r="N895" s="134"/>
      <c r="O895" s="123"/>
      <c r="P895" s="136"/>
      <c r="Q895" s="37"/>
      <c r="R895" s="74"/>
      <c r="S895" s="74"/>
      <c r="T895" s="74"/>
      <c r="U895" s="71"/>
      <c r="V895" s="73"/>
      <c r="W895" s="75"/>
      <c r="X895" s="138"/>
      <c r="AH895" s="5"/>
      <c r="AI895" s="5"/>
    </row>
    <row r="896" spans="1:35">
      <c r="A896" s="51"/>
      <c r="B896" s="51"/>
      <c r="C896" s="5"/>
      <c r="D896" s="111"/>
      <c r="E896" s="51"/>
      <c r="F896" s="56"/>
      <c r="G896" s="51"/>
      <c r="H896" s="37"/>
      <c r="I896" s="51"/>
      <c r="J896" s="51"/>
      <c r="K896" s="134"/>
      <c r="L896" s="59"/>
      <c r="M896" s="134"/>
      <c r="N896" s="134"/>
      <c r="O896" s="111"/>
      <c r="P896" s="111"/>
      <c r="Q896" s="139"/>
      <c r="R896" s="113"/>
      <c r="S896" s="113"/>
      <c r="T896" s="113"/>
      <c r="U896" s="114"/>
      <c r="V896" s="115"/>
      <c r="W896" s="116"/>
      <c r="X896" s="117"/>
      <c r="Y896" s="111"/>
      <c r="Z896" s="111"/>
      <c r="AH896" s="5"/>
      <c r="AI896" s="5"/>
    </row>
    <row r="897" spans="1:35">
      <c r="A897" s="51"/>
      <c r="B897" s="51"/>
      <c r="C897" s="5"/>
      <c r="D897" s="111"/>
      <c r="E897" s="51"/>
      <c r="F897" s="56"/>
      <c r="G897" s="51"/>
      <c r="H897" s="37"/>
      <c r="I897" s="51"/>
      <c r="J897" s="51"/>
      <c r="K897" s="134"/>
      <c r="L897" s="59"/>
      <c r="M897" s="134"/>
      <c r="N897" s="134"/>
      <c r="O897" s="111"/>
      <c r="P897" s="111"/>
      <c r="Q897" s="139"/>
      <c r="R897" s="113"/>
      <c r="S897" s="113"/>
      <c r="T897" s="113"/>
      <c r="U897" s="114"/>
      <c r="V897" s="115"/>
      <c r="W897" s="116"/>
      <c r="X897" s="117"/>
      <c r="Y897" s="111"/>
      <c r="Z897" s="111"/>
      <c r="AH897" s="5"/>
      <c r="AI897" s="5"/>
    </row>
    <row r="898" spans="1:35">
      <c r="A898" s="51"/>
      <c r="B898" s="51"/>
      <c r="C898" s="5"/>
      <c r="D898" s="111"/>
      <c r="E898" s="51"/>
      <c r="F898" s="56"/>
      <c r="G898" s="51"/>
      <c r="H898" s="37"/>
      <c r="I898" s="51"/>
      <c r="J898" s="51"/>
      <c r="K898" s="134"/>
      <c r="L898" s="59"/>
      <c r="M898" s="134"/>
      <c r="N898" s="134"/>
      <c r="O898" s="111"/>
      <c r="P898" s="111"/>
      <c r="Q898" s="139"/>
      <c r="R898" s="113"/>
      <c r="S898" s="113"/>
      <c r="T898" s="113"/>
      <c r="U898" s="114"/>
      <c r="V898" s="115"/>
      <c r="W898" s="116"/>
      <c r="X898" s="117"/>
      <c r="Y898" s="111"/>
      <c r="Z898" s="111"/>
      <c r="AH898" s="5"/>
      <c r="AI898" s="5"/>
    </row>
    <row r="899" spans="1:35">
      <c r="A899" s="51"/>
      <c r="B899" s="51"/>
      <c r="C899" s="5"/>
      <c r="D899" s="111"/>
      <c r="E899" s="51"/>
      <c r="F899" s="56"/>
      <c r="G899" s="51"/>
      <c r="H899" s="37"/>
      <c r="I899" s="51"/>
      <c r="J899" s="51"/>
      <c r="K899" s="134"/>
      <c r="L899" s="59"/>
      <c r="M899" s="134"/>
      <c r="N899" s="134"/>
      <c r="O899" s="111"/>
      <c r="P899" s="111"/>
      <c r="Q899" s="139"/>
      <c r="R899" s="113"/>
      <c r="S899" s="113"/>
      <c r="T899" s="113"/>
      <c r="U899" s="114"/>
      <c r="V899" s="115"/>
      <c r="W899" s="116"/>
      <c r="X899" s="117"/>
      <c r="Y899" s="111"/>
      <c r="Z899" s="111"/>
      <c r="AH899" s="5"/>
      <c r="AI899" s="5"/>
    </row>
    <row r="900" spans="1:35">
      <c r="A900" s="51"/>
      <c r="B900" s="51"/>
      <c r="C900" s="5"/>
      <c r="D900" s="111"/>
      <c r="E900" s="51"/>
      <c r="F900" s="56"/>
      <c r="G900" s="51"/>
      <c r="H900" s="37"/>
      <c r="I900" s="51"/>
      <c r="J900" s="51"/>
      <c r="K900" s="134"/>
      <c r="L900" s="59"/>
      <c r="M900" s="134"/>
      <c r="N900" s="134"/>
      <c r="O900" s="111"/>
      <c r="P900" s="111"/>
      <c r="Q900" s="139"/>
      <c r="R900" s="113"/>
      <c r="S900" s="113"/>
      <c r="T900" s="113"/>
      <c r="U900" s="114"/>
      <c r="V900" s="115"/>
      <c r="W900" s="116"/>
      <c r="X900" s="117"/>
      <c r="Y900" s="111"/>
      <c r="Z900" s="111"/>
      <c r="AH900" s="5"/>
      <c r="AI900" s="5"/>
    </row>
    <row r="901" spans="1:35">
      <c r="A901" s="51"/>
      <c r="B901" s="51"/>
      <c r="C901" s="5"/>
      <c r="D901" s="111"/>
      <c r="E901" s="51"/>
      <c r="F901" s="56"/>
      <c r="G901" s="51"/>
      <c r="H901" s="37"/>
      <c r="I901" s="51"/>
      <c r="J901" s="51"/>
      <c r="K901" s="134"/>
      <c r="L901" s="59"/>
      <c r="M901" s="134"/>
      <c r="N901" s="134"/>
      <c r="O901" s="111"/>
      <c r="P901" s="111"/>
      <c r="Q901" s="139"/>
      <c r="R901" s="113"/>
      <c r="S901" s="113"/>
      <c r="T901" s="113"/>
      <c r="U901" s="114"/>
      <c r="V901" s="115"/>
      <c r="W901" s="116"/>
      <c r="X901" s="117"/>
      <c r="Y901" s="111"/>
      <c r="Z901" s="111"/>
      <c r="AH901" s="5"/>
      <c r="AI901" s="5"/>
    </row>
    <row r="902" spans="1:35">
      <c r="A902" s="51"/>
      <c r="B902" s="51"/>
      <c r="C902" s="5"/>
      <c r="D902" s="111"/>
      <c r="E902" s="51"/>
      <c r="F902" s="51"/>
      <c r="G902" s="51"/>
      <c r="H902" s="37"/>
      <c r="I902" s="51"/>
      <c r="J902" s="51"/>
      <c r="K902" s="134"/>
      <c r="L902" s="59"/>
      <c r="M902" s="134"/>
      <c r="N902" s="134"/>
      <c r="O902" s="111"/>
      <c r="P902" s="111"/>
      <c r="Q902" s="139"/>
      <c r="R902" s="113"/>
      <c r="S902" s="113"/>
      <c r="T902" s="113"/>
      <c r="U902" s="114"/>
      <c r="V902" s="115"/>
      <c r="W902" s="116"/>
      <c r="X902" s="117"/>
      <c r="Y902" s="111"/>
      <c r="Z902" s="111"/>
      <c r="AH902" s="5"/>
      <c r="AI902" s="5"/>
    </row>
    <row r="903" spans="1:35">
      <c r="A903" s="111"/>
      <c r="B903" s="111"/>
      <c r="C903" s="5"/>
      <c r="D903" s="111"/>
      <c r="E903" s="111"/>
      <c r="F903" s="111"/>
      <c r="G903" s="111"/>
      <c r="H903" s="111"/>
      <c r="I903" s="111"/>
      <c r="J903" s="111"/>
      <c r="K903" s="134"/>
      <c r="L903" s="111"/>
      <c r="M903" s="134"/>
      <c r="N903" s="134"/>
      <c r="O903" s="111"/>
      <c r="P903" s="111"/>
      <c r="Q903" s="139"/>
      <c r="R903" s="113"/>
      <c r="S903" s="113"/>
      <c r="T903" s="113"/>
      <c r="U903" s="114"/>
      <c r="V903" s="115"/>
      <c r="W903" s="116"/>
      <c r="X903" s="117"/>
      <c r="Y903" s="111"/>
      <c r="Z903" s="111"/>
      <c r="AH903" s="5"/>
      <c r="AI903" s="5"/>
    </row>
    <row r="904" spans="1:35">
      <c r="A904" s="111"/>
      <c r="B904" s="111"/>
      <c r="C904" s="5"/>
      <c r="D904" s="111"/>
      <c r="E904" s="111"/>
      <c r="F904" s="111"/>
      <c r="G904" s="111"/>
      <c r="H904" s="111"/>
      <c r="I904" s="111"/>
      <c r="J904" s="111"/>
      <c r="K904" s="134"/>
      <c r="L904" s="111"/>
      <c r="M904" s="134"/>
      <c r="N904" s="134"/>
      <c r="O904" s="111"/>
      <c r="P904" s="111"/>
      <c r="Q904" s="139"/>
      <c r="R904" s="113"/>
      <c r="S904" s="113"/>
      <c r="T904" s="113"/>
      <c r="U904" s="114"/>
      <c r="V904" s="115"/>
      <c r="W904" s="116"/>
      <c r="X904" s="117"/>
      <c r="Y904" s="111"/>
      <c r="Z904" s="111"/>
      <c r="AH904" s="5"/>
      <c r="AI904" s="5"/>
    </row>
    <row r="905" spans="1:35">
      <c r="A905" s="111"/>
      <c r="B905" s="111"/>
      <c r="C905" s="5"/>
      <c r="D905" s="111"/>
      <c r="E905" s="111"/>
      <c r="F905" s="111"/>
      <c r="G905" s="111"/>
      <c r="H905" s="111"/>
      <c r="I905" s="111"/>
      <c r="J905" s="111"/>
      <c r="K905" s="134"/>
      <c r="L905" s="111"/>
      <c r="M905" s="134"/>
      <c r="N905" s="134"/>
      <c r="O905" s="111"/>
      <c r="P905" s="111"/>
      <c r="Q905" s="139"/>
      <c r="R905" s="113"/>
      <c r="S905" s="113"/>
      <c r="T905" s="113"/>
      <c r="U905" s="114"/>
      <c r="V905" s="115"/>
      <c r="W905" s="116"/>
      <c r="X905" s="117"/>
      <c r="Y905" s="111"/>
      <c r="Z905" s="111"/>
      <c r="AH905" s="5"/>
      <c r="AI905" s="5"/>
    </row>
    <row r="906" spans="1:35">
      <c r="A906" s="111"/>
      <c r="B906" s="111"/>
      <c r="C906" s="5"/>
      <c r="D906" s="111"/>
      <c r="E906" s="111"/>
      <c r="F906" s="111"/>
      <c r="G906" s="111"/>
      <c r="H906" s="111"/>
      <c r="I906" s="111"/>
      <c r="J906" s="111"/>
      <c r="K906" s="134"/>
      <c r="L906" s="111"/>
      <c r="M906" s="134"/>
      <c r="N906" s="134"/>
      <c r="O906" s="111"/>
      <c r="P906" s="111"/>
      <c r="Q906" s="139"/>
      <c r="R906" s="113"/>
      <c r="S906" s="113"/>
      <c r="T906" s="113"/>
      <c r="U906" s="114"/>
      <c r="V906" s="115"/>
      <c r="W906" s="116"/>
      <c r="X906" s="117"/>
      <c r="Y906" s="111"/>
      <c r="Z906" s="111"/>
      <c r="AH906" s="5"/>
      <c r="AI906" s="5"/>
    </row>
    <row r="907" spans="1:35">
      <c r="A907" s="111"/>
      <c r="B907" s="111"/>
      <c r="C907" s="5"/>
      <c r="D907" s="111"/>
      <c r="E907" s="111"/>
      <c r="F907" s="111"/>
      <c r="G907" s="111"/>
      <c r="H907" s="111"/>
      <c r="I907" s="111"/>
      <c r="J907" s="111"/>
      <c r="K907" s="134"/>
      <c r="L907" s="111"/>
      <c r="M907" s="134"/>
      <c r="N907" s="134"/>
      <c r="O907" s="111"/>
      <c r="P907" s="111"/>
      <c r="Q907" s="139"/>
      <c r="R907" s="113"/>
      <c r="S907" s="113"/>
      <c r="T907" s="113"/>
      <c r="U907" s="114"/>
      <c r="V907" s="115"/>
      <c r="W907" s="116"/>
      <c r="X907" s="117"/>
      <c r="Y907" s="111"/>
      <c r="Z907" s="111"/>
      <c r="AH907" s="5"/>
      <c r="AI907" s="5"/>
    </row>
    <row r="908" spans="1:35">
      <c r="A908" s="111"/>
      <c r="B908" s="111"/>
      <c r="C908" s="5"/>
      <c r="D908" s="111"/>
      <c r="E908" s="111"/>
      <c r="F908" s="111"/>
      <c r="G908" s="111"/>
      <c r="H908" s="111"/>
      <c r="I908" s="111"/>
      <c r="J908" s="111"/>
      <c r="K908" s="134"/>
      <c r="L908" s="111"/>
      <c r="M908" s="134"/>
      <c r="N908" s="134"/>
      <c r="O908" s="111"/>
      <c r="P908" s="111"/>
      <c r="Q908" s="139"/>
      <c r="R908" s="113"/>
      <c r="S908" s="113"/>
      <c r="T908" s="113"/>
      <c r="U908" s="114"/>
      <c r="V908" s="115"/>
      <c r="W908" s="116"/>
      <c r="X908" s="117"/>
      <c r="Y908" s="111"/>
      <c r="Z908" s="111"/>
      <c r="AH908" s="5"/>
      <c r="AI908" s="5"/>
    </row>
    <row r="909" spans="1:35">
      <c r="A909" s="111"/>
      <c r="B909" s="111"/>
      <c r="C909" s="5"/>
      <c r="D909" s="111"/>
      <c r="E909" s="111"/>
      <c r="F909" s="111"/>
      <c r="G909" s="111"/>
      <c r="H909" s="111"/>
      <c r="I909" s="111"/>
      <c r="J909" s="111"/>
      <c r="K909" s="134"/>
      <c r="L909" s="111"/>
      <c r="M909" s="134"/>
      <c r="N909" s="134"/>
      <c r="O909" s="111"/>
      <c r="P909" s="111"/>
      <c r="Q909" s="139"/>
      <c r="R909" s="113"/>
      <c r="S909" s="113"/>
      <c r="T909" s="113"/>
      <c r="U909" s="114"/>
      <c r="V909" s="115"/>
      <c r="W909" s="116"/>
      <c r="X909" s="117"/>
      <c r="Y909" s="111"/>
      <c r="Z909" s="111"/>
      <c r="AH909" s="5"/>
      <c r="AI909" s="5"/>
    </row>
    <row r="910" spans="1:35">
      <c r="A910" s="111"/>
      <c r="B910" s="111"/>
      <c r="C910" s="5"/>
      <c r="D910" s="111"/>
      <c r="E910" s="111"/>
      <c r="F910" s="111"/>
      <c r="G910" s="111"/>
      <c r="H910" s="111"/>
      <c r="I910" s="111"/>
      <c r="J910" s="111"/>
      <c r="K910" s="134"/>
      <c r="L910" s="111"/>
      <c r="M910" s="134"/>
      <c r="N910" s="134"/>
      <c r="O910" s="111"/>
      <c r="P910" s="111"/>
      <c r="Q910" s="139"/>
      <c r="R910" s="113"/>
      <c r="S910" s="113"/>
      <c r="T910" s="113"/>
      <c r="U910" s="114"/>
      <c r="V910" s="115"/>
      <c r="W910" s="116"/>
      <c r="X910" s="117"/>
      <c r="Y910" s="111"/>
      <c r="Z910" s="111"/>
      <c r="AH910" s="5"/>
      <c r="AI910" s="5"/>
    </row>
    <row r="911" spans="1:35">
      <c r="A911" s="111"/>
      <c r="B911" s="111"/>
      <c r="C911" s="5"/>
      <c r="D911" s="111"/>
      <c r="E911" s="111"/>
      <c r="F911" s="111"/>
      <c r="G911" s="111"/>
      <c r="H911" s="111"/>
      <c r="I911" s="111"/>
      <c r="J911" s="111"/>
      <c r="K911" s="134"/>
      <c r="L911" s="111"/>
      <c r="M911" s="134"/>
      <c r="N911" s="134"/>
      <c r="O911" s="111"/>
      <c r="P911" s="111"/>
      <c r="Q911" s="139"/>
      <c r="R911" s="113"/>
      <c r="S911" s="113"/>
      <c r="T911" s="113"/>
      <c r="U911" s="114"/>
      <c r="V911" s="115"/>
      <c r="W911" s="116"/>
      <c r="X911" s="117"/>
      <c r="Y911" s="111"/>
      <c r="Z911" s="111"/>
      <c r="AH911" s="5"/>
      <c r="AI911" s="5"/>
    </row>
    <row r="912" spans="1:35">
      <c r="A912" s="111"/>
      <c r="B912" s="111"/>
      <c r="C912" s="5"/>
      <c r="D912" s="111"/>
      <c r="E912" s="111"/>
      <c r="F912" s="111"/>
      <c r="G912" s="111"/>
      <c r="H912" s="111"/>
      <c r="I912" s="111"/>
      <c r="J912" s="111"/>
      <c r="K912" s="134"/>
      <c r="L912" s="111"/>
      <c r="M912" s="134"/>
      <c r="N912" s="134"/>
      <c r="O912" s="111"/>
      <c r="P912" s="111"/>
      <c r="Q912" s="139"/>
      <c r="R912" s="113"/>
      <c r="S912" s="113"/>
      <c r="T912" s="113"/>
      <c r="U912" s="114"/>
      <c r="V912" s="115"/>
      <c r="W912" s="116"/>
      <c r="X912" s="117"/>
      <c r="Y912" s="111"/>
      <c r="Z912" s="111"/>
      <c r="AH912" s="5"/>
      <c r="AI912" s="5"/>
    </row>
    <row r="913" spans="1:35">
      <c r="A913" s="111"/>
      <c r="B913" s="111"/>
      <c r="C913" s="5"/>
      <c r="D913" s="111"/>
      <c r="E913" s="111"/>
      <c r="F913" s="111"/>
      <c r="G913" s="111"/>
      <c r="H913" s="111"/>
      <c r="I913" s="111"/>
      <c r="J913" s="111"/>
      <c r="K913" s="134"/>
      <c r="L913" s="111"/>
      <c r="M913" s="134"/>
      <c r="N913" s="134"/>
      <c r="O913" s="111"/>
      <c r="P913" s="111"/>
      <c r="Q913" s="139"/>
      <c r="R913" s="113"/>
      <c r="S913" s="113"/>
      <c r="T913" s="113"/>
      <c r="U913" s="114"/>
      <c r="V913" s="115"/>
      <c r="W913" s="116"/>
      <c r="X913" s="117"/>
      <c r="Y913" s="111"/>
      <c r="Z913" s="111"/>
      <c r="AH913" s="5"/>
      <c r="AI913" s="5"/>
    </row>
    <row r="914" spans="1:35">
      <c r="A914" s="111"/>
      <c r="B914" s="111"/>
      <c r="C914" s="5"/>
      <c r="D914" s="111"/>
      <c r="E914" s="111"/>
      <c r="F914" s="111"/>
      <c r="G914" s="111"/>
      <c r="H914" s="111"/>
      <c r="I914" s="111"/>
      <c r="J914" s="111"/>
      <c r="K914" s="134"/>
      <c r="L914" s="111"/>
      <c r="M914" s="134"/>
      <c r="N914" s="134"/>
      <c r="O914" s="111"/>
      <c r="P914" s="111"/>
      <c r="Q914" s="139"/>
      <c r="R914" s="113"/>
      <c r="S914" s="113"/>
      <c r="T914" s="113"/>
      <c r="U914" s="114"/>
      <c r="V914" s="115"/>
      <c r="W914" s="116"/>
      <c r="X914" s="117"/>
      <c r="Y914" s="111"/>
      <c r="Z914" s="111"/>
      <c r="AH914" s="5"/>
      <c r="AI914" s="5"/>
    </row>
    <row r="915" spans="1:35">
      <c r="A915" s="111"/>
      <c r="B915" s="111"/>
      <c r="C915" s="5"/>
      <c r="D915" s="111"/>
      <c r="E915" s="111"/>
      <c r="F915" s="111"/>
      <c r="G915" s="111"/>
      <c r="H915" s="111"/>
      <c r="I915" s="111"/>
      <c r="J915" s="111"/>
      <c r="K915" s="134"/>
      <c r="L915" s="111"/>
      <c r="M915" s="134"/>
      <c r="N915" s="134"/>
      <c r="O915" s="111"/>
      <c r="P915" s="111"/>
      <c r="Q915" s="139"/>
      <c r="R915" s="113"/>
      <c r="S915" s="113"/>
      <c r="T915" s="113"/>
      <c r="U915" s="114"/>
      <c r="V915" s="115"/>
      <c r="W915" s="116"/>
      <c r="X915" s="117"/>
      <c r="Y915" s="111"/>
      <c r="Z915" s="111"/>
      <c r="AH915" s="5"/>
      <c r="AI915" s="5"/>
    </row>
    <row r="916" spans="1:35">
      <c r="A916" s="111"/>
      <c r="B916" s="111"/>
      <c r="C916" s="5"/>
      <c r="D916" s="111"/>
      <c r="E916" s="111"/>
      <c r="F916" s="111"/>
      <c r="G916" s="111"/>
      <c r="H916" s="111"/>
      <c r="I916" s="111"/>
      <c r="J916" s="111"/>
      <c r="K916" s="134"/>
      <c r="L916" s="111"/>
      <c r="M916" s="134"/>
      <c r="N916" s="134"/>
      <c r="O916" s="111"/>
      <c r="P916" s="111"/>
      <c r="Q916" s="139"/>
      <c r="R916" s="113"/>
      <c r="S916" s="113"/>
      <c r="T916" s="113"/>
      <c r="U916" s="114"/>
      <c r="V916" s="115"/>
      <c r="W916" s="116"/>
      <c r="X916" s="117"/>
      <c r="Y916" s="111"/>
      <c r="Z916" s="111"/>
      <c r="AH916" s="5"/>
      <c r="AI916" s="5"/>
    </row>
    <row r="917" spans="1:35">
      <c r="A917" s="111"/>
      <c r="B917" s="111"/>
      <c r="C917" s="5"/>
      <c r="D917" s="111"/>
      <c r="E917" s="111"/>
      <c r="F917" s="111"/>
      <c r="G917" s="111"/>
      <c r="H917" s="111"/>
      <c r="I917" s="111"/>
      <c r="J917" s="111"/>
      <c r="K917" s="134"/>
      <c r="L917" s="111"/>
      <c r="M917" s="134"/>
      <c r="N917" s="134"/>
      <c r="O917" s="111"/>
      <c r="P917" s="111"/>
      <c r="Q917" s="139"/>
      <c r="R917" s="113"/>
      <c r="S917" s="113"/>
      <c r="T917" s="113"/>
      <c r="U917" s="114"/>
      <c r="V917" s="115"/>
      <c r="W917" s="116"/>
      <c r="X917" s="117"/>
      <c r="Y917" s="111"/>
      <c r="Z917" s="111"/>
      <c r="AH917" s="5"/>
      <c r="AI917" s="5"/>
    </row>
    <row r="918" spans="1:35">
      <c r="A918" s="111"/>
      <c r="B918" s="111"/>
      <c r="C918" s="5"/>
      <c r="D918" s="111"/>
      <c r="E918" s="111"/>
      <c r="F918" s="111"/>
      <c r="G918" s="111"/>
      <c r="H918" s="111"/>
      <c r="I918" s="111"/>
      <c r="J918" s="111"/>
      <c r="K918" s="134"/>
      <c r="L918" s="111"/>
      <c r="M918" s="134"/>
      <c r="N918" s="134"/>
      <c r="O918" s="111"/>
      <c r="P918" s="111"/>
      <c r="Q918" s="139"/>
      <c r="R918" s="113"/>
      <c r="S918" s="113"/>
      <c r="T918" s="113"/>
      <c r="U918" s="114"/>
      <c r="V918" s="115"/>
      <c r="W918" s="116"/>
      <c r="X918" s="117"/>
      <c r="Y918" s="111"/>
      <c r="Z918" s="111"/>
      <c r="AH918" s="5"/>
      <c r="AI918" s="5"/>
    </row>
    <row r="919" spans="1:35">
      <c r="A919" s="111"/>
      <c r="B919" s="111"/>
      <c r="C919" s="5"/>
      <c r="D919" s="111"/>
      <c r="E919" s="111"/>
      <c r="F919" s="111"/>
      <c r="G919" s="111"/>
      <c r="H919" s="111"/>
      <c r="I919" s="111"/>
      <c r="J919" s="111"/>
      <c r="K919" s="134"/>
      <c r="L919" s="111"/>
      <c r="M919" s="134"/>
      <c r="N919" s="134"/>
      <c r="O919" s="111"/>
      <c r="P919" s="111"/>
      <c r="Q919" s="139"/>
      <c r="R919" s="113"/>
      <c r="S919" s="113"/>
      <c r="T919" s="113"/>
      <c r="U919" s="114"/>
      <c r="V919" s="115"/>
      <c r="W919" s="116"/>
      <c r="X919" s="117"/>
      <c r="Y919" s="111"/>
      <c r="Z919" s="111"/>
      <c r="AH919" s="5"/>
      <c r="AI919" s="5"/>
    </row>
    <row r="920" spans="1:35">
      <c r="A920" s="111"/>
      <c r="B920" s="111"/>
      <c r="C920" s="5"/>
      <c r="D920" s="111"/>
      <c r="E920" s="111"/>
      <c r="F920" s="111"/>
      <c r="G920" s="111"/>
      <c r="H920" s="111"/>
      <c r="I920" s="111"/>
      <c r="J920" s="111"/>
      <c r="K920" s="134"/>
      <c r="L920" s="111"/>
      <c r="M920" s="134"/>
      <c r="N920" s="134"/>
      <c r="O920" s="111"/>
      <c r="P920" s="111"/>
      <c r="Q920" s="139"/>
      <c r="R920" s="113"/>
      <c r="S920" s="113"/>
      <c r="T920" s="113"/>
      <c r="U920" s="114"/>
      <c r="V920" s="115"/>
      <c r="W920" s="116"/>
      <c r="X920" s="117"/>
      <c r="Y920" s="111"/>
      <c r="Z920" s="111"/>
      <c r="AH920" s="5"/>
      <c r="AI920" s="5"/>
    </row>
    <row r="921" spans="1:35">
      <c r="A921" s="111"/>
      <c r="B921" s="111"/>
      <c r="C921" s="5"/>
      <c r="D921" s="111"/>
      <c r="E921" s="111"/>
      <c r="F921" s="111"/>
      <c r="G921" s="111"/>
      <c r="H921" s="111"/>
      <c r="I921" s="111"/>
      <c r="J921" s="111"/>
      <c r="K921" s="134"/>
      <c r="L921" s="111"/>
      <c r="M921" s="134"/>
      <c r="N921" s="134"/>
      <c r="O921" s="111"/>
      <c r="P921" s="111"/>
      <c r="Q921" s="139"/>
      <c r="R921" s="113"/>
      <c r="S921" s="113"/>
      <c r="T921" s="113"/>
      <c r="U921" s="114"/>
      <c r="V921" s="115"/>
      <c r="W921" s="116"/>
      <c r="X921" s="117"/>
      <c r="Y921" s="111"/>
      <c r="Z921" s="111"/>
      <c r="AH921" s="5"/>
      <c r="AI921" s="5"/>
    </row>
    <row r="922" spans="1:35">
      <c r="A922" s="111"/>
      <c r="B922" s="111"/>
      <c r="C922" s="5"/>
      <c r="D922" s="111"/>
      <c r="E922" s="111"/>
      <c r="F922" s="111"/>
      <c r="G922" s="111"/>
      <c r="H922" s="111"/>
      <c r="I922" s="111"/>
      <c r="J922" s="111"/>
      <c r="K922" s="134"/>
      <c r="L922" s="111"/>
      <c r="M922" s="134"/>
      <c r="N922" s="134"/>
      <c r="O922" s="111"/>
      <c r="P922" s="111"/>
      <c r="Q922" s="139"/>
      <c r="R922" s="113"/>
      <c r="S922" s="113"/>
      <c r="T922" s="113"/>
      <c r="U922" s="114"/>
      <c r="V922" s="115"/>
      <c r="W922" s="116"/>
      <c r="X922" s="117"/>
      <c r="Y922" s="111"/>
      <c r="Z922" s="111"/>
      <c r="AH922" s="5"/>
      <c r="AI922" s="5"/>
    </row>
    <row r="923" spans="1:35">
      <c r="A923" s="111"/>
      <c r="B923" s="111"/>
      <c r="C923" s="5"/>
      <c r="D923" s="111"/>
      <c r="E923" s="111"/>
      <c r="F923" s="111"/>
      <c r="G923" s="111"/>
      <c r="H923" s="111"/>
      <c r="I923" s="111"/>
      <c r="J923" s="111"/>
      <c r="K923" s="134"/>
      <c r="L923" s="111"/>
      <c r="M923" s="134"/>
      <c r="N923" s="134"/>
      <c r="O923" s="111"/>
      <c r="P923" s="111"/>
      <c r="Q923" s="139"/>
      <c r="R923" s="113"/>
      <c r="S923" s="113"/>
      <c r="T923" s="113"/>
      <c r="U923" s="114"/>
      <c r="V923" s="115"/>
      <c r="W923" s="116"/>
      <c r="X923" s="117"/>
      <c r="Y923" s="111"/>
      <c r="Z923" s="111"/>
      <c r="AH923" s="5"/>
      <c r="AI923" s="5"/>
    </row>
    <row r="924" spans="1:35">
      <c r="A924" s="111"/>
      <c r="B924" s="111"/>
      <c r="C924" s="5"/>
      <c r="D924" s="111"/>
      <c r="E924" s="111"/>
      <c r="F924" s="111"/>
      <c r="G924" s="111"/>
      <c r="H924" s="111"/>
      <c r="I924" s="111"/>
      <c r="J924" s="111"/>
      <c r="K924" s="134"/>
      <c r="L924" s="111"/>
      <c r="M924" s="134"/>
      <c r="N924" s="134"/>
      <c r="O924" s="111"/>
      <c r="P924" s="111"/>
      <c r="Q924" s="139"/>
      <c r="R924" s="113"/>
      <c r="S924" s="113"/>
      <c r="T924" s="113"/>
      <c r="U924" s="114"/>
      <c r="V924" s="115"/>
      <c r="W924" s="116"/>
      <c r="X924" s="117"/>
      <c r="Y924" s="111"/>
      <c r="Z924" s="111"/>
      <c r="AH924" s="5"/>
      <c r="AI924" s="5"/>
    </row>
    <row r="925" spans="1:35">
      <c r="A925" s="111"/>
      <c r="B925" s="111"/>
      <c r="C925" s="5"/>
      <c r="D925" s="111"/>
      <c r="E925" s="111"/>
      <c r="F925" s="111"/>
      <c r="G925" s="111"/>
      <c r="H925" s="111"/>
      <c r="I925" s="111"/>
      <c r="J925" s="111"/>
      <c r="K925" s="134"/>
      <c r="L925" s="111"/>
      <c r="M925" s="134"/>
      <c r="N925" s="134"/>
      <c r="O925" s="111"/>
      <c r="P925" s="111"/>
      <c r="Q925" s="139"/>
      <c r="R925" s="113"/>
      <c r="S925" s="113"/>
      <c r="T925" s="113"/>
      <c r="U925" s="114"/>
      <c r="V925" s="115"/>
      <c r="W925" s="116"/>
      <c r="X925" s="117"/>
      <c r="Y925" s="111"/>
      <c r="Z925" s="111"/>
      <c r="AH925" s="5"/>
      <c r="AI925" s="5"/>
    </row>
    <row r="926" spans="1:35">
      <c r="A926" s="111"/>
      <c r="B926" s="111"/>
      <c r="C926" s="5"/>
      <c r="D926" s="111"/>
      <c r="E926" s="111"/>
      <c r="F926" s="111"/>
      <c r="G926" s="111"/>
      <c r="H926" s="111"/>
      <c r="I926" s="111"/>
      <c r="J926" s="111"/>
      <c r="K926" s="134"/>
      <c r="L926" s="111"/>
      <c r="M926" s="134"/>
      <c r="N926" s="134"/>
      <c r="O926" s="111"/>
      <c r="P926" s="111"/>
      <c r="Q926" s="139"/>
      <c r="R926" s="113"/>
      <c r="S926" s="113"/>
      <c r="T926" s="113"/>
      <c r="U926" s="114"/>
      <c r="V926" s="115"/>
      <c r="W926" s="116"/>
      <c r="X926" s="117"/>
      <c r="Y926" s="111"/>
      <c r="Z926" s="111"/>
      <c r="AH926" s="5"/>
      <c r="AI926" s="5"/>
    </row>
    <row r="927" spans="1:35">
      <c r="A927" s="111"/>
      <c r="B927" s="111"/>
      <c r="C927" s="5"/>
      <c r="D927" s="111"/>
      <c r="E927" s="111"/>
      <c r="F927" s="111"/>
      <c r="G927" s="111"/>
      <c r="H927" s="111"/>
      <c r="I927" s="111"/>
      <c r="J927" s="111"/>
      <c r="K927" s="134"/>
      <c r="L927" s="111"/>
      <c r="M927" s="134"/>
      <c r="N927" s="134"/>
      <c r="O927" s="111"/>
      <c r="P927" s="111"/>
      <c r="Q927" s="139"/>
      <c r="R927" s="113"/>
      <c r="S927" s="113"/>
      <c r="T927" s="113"/>
      <c r="U927" s="114"/>
      <c r="V927" s="115"/>
      <c r="W927" s="116"/>
      <c r="X927" s="117"/>
      <c r="Y927" s="111"/>
      <c r="Z927" s="111"/>
      <c r="AH927" s="5"/>
      <c r="AI927" s="5"/>
    </row>
    <row r="928" spans="1:35">
      <c r="A928" s="111"/>
      <c r="B928" s="111"/>
      <c r="C928" s="5"/>
      <c r="D928" s="111"/>
      <c r="E928" s="111"/>
      <c r="F928" s="111"/>
      <c r="G928" s="111"/>
      <c r="H928" s="111"/>
      <c r="I928" s="111"/>
      <c r="J928" s="111"/>
      <c r="K928" s="134"/>
      <c r="L928" s="111"/>
      <c r="M928" s="134"/>
      <c r="N928" s="134"/>
      <c r="O928" s="111"/>
      <c r="P928" s="111"/>
      <c r="Q928" s="139"/>
      <c r="R928" s="113"/>
      <c r="S928" s="113"/>
      <c r="T928" s="113"/>
      <c r="U928" s="114"/>
      <c r="V928" s="115"/>
      <c r="W928" s="116"/>
      <c r="X928" s="117"/>
      <c r="Y928" s="111"/>
      <c r="Z928" s="111"/>
      <c r="AH928" s="5"/>
      <c r="AI928" s="5"/>
    </row>
    <row r="929" spans="1:35">
      <c r="A929" s="111"/>
      <c r="B929" s="111"/>
      <c r="C929" s="5"/>
      <c r="D929" s="111"/>
      <c r="E929" s="111"/>
      <c r="F929" s="111"/>
      <c r="G929" s="111"/>
      <c r="H929" s="111"/>
      <c r="I929" s="111"/>
      <c r="J929" s="111"/>
      <c r="K929" s="134"/>
      <c r="L929" s="111"/>
      <c r="M929" s="134"/>
      <c r="N929" s="134"/>
      <c r="O929" s="111"/>
      <c r="P929" s="111"/>
      <c r="Q929" s="139"/>
      <c r="R929" s="113"/>
      <c r="S929" s="113"/>
      <c r="T929" s="113"/>
      <c r="U929" s="114"/>
      <c r="V929" s="115"/>
      <c r="W929" s="116"/>
      <c r="X929" s="117"/>
      <c r="Y929" s="111"/>
      <c r="Z929" s="111"/>
      <c r="AH929" s="5"/>
      <c r="AI929" s="5"/>
    </row>
    <row r="930" spans="1:35">
      <c r="A930" s="111"/>
      <c r="B930" s="111"/>
      <c r="C930" s="5"/>
      <c r="D930" s="111"/>
      <c r="E930" s="111"/>
      <c r="F930" s="111"/>
      <c r="G930" s="111"/>
      <c r="H930" s="111"/>
      <c r="I930" s="111"/>
      <c r="J930" s="111"/>
      <c r="K930" s="134"/>
      <c r="L930" s="111"/>
      <c r="M930" s="134"/>
      <c r="N930" s="134"/>
      <c r="O930" s="111"/>
      <c r="P930" s="111"/>
      <c r="Q930" s="139"/>
      <c r="R930" s="113"/>
      <c r="S930" s="113"/>
      <c r="T930" s="113"/>
      <c r="U930" s="114"/>
      <c r="V930" s="115"/>
      <c r="W930" s="116"/>
      <c r="X930" s="117"/>
      <c r="Y930" s="111"/>
      <c r="Z930" s="111"/>
      <c r="AH930" s="5"/>
      <c r="AI930" s="5"/>
    </row>
    <row r="931" spans="1:35">
      <c r="A931" s="111"/>
      <c r="B931" s="111"/>
      <c r="C931" s="5"/>
      <c r="D931" s="111"/>
      <c r="E931" s="111"/>
      <c r="F931" s="111"/>
      <c r="G931" s="111"/>
      <c r="H931" s="111"/>
      <c r="I931" s="111"/>
      <c r="J931" s="111"/>
      <c r="K931" s="134"/>
      <c r="L931" s="111"/>
      <c r="M931" s="134"/>
      <c r="N931" s="134"/>
      <c r="O931" s="111"/>
      <c r="P931" s="111"/>
      <c r="Q931" s="139"/>
      <c r="R931" s="113"/>
      <c r="S931" s="113"/>
      <c r="T931" s="113"/>
      <c r="U931" s="114"/>
      <c r="V931" s="115"/>
      <c r="W931" s="116"/>
      <c r="X931" s="117"/>
      <c r="Y931" s="111"/>
      <c r="Z931" s="111"/>
      <c r="AH931" s="5"/>
      <c r="AI931" s="5"/>
    </row>
    <row r="932" spans="1:35">
      <c r="A932" s="111"/>
      <c r="B932" s="111"/>
      <c r="C932" s="5"/>
      <c r="D932" s="111"/>
      <c r="E932" s="111"/>
      <c r="F932" s="111"/>
      <c r="G932" s="111"/>
      <c r="H932" s="111"/>
      <c r="I932" s="111"/>
      <c r="J932" s="111"/>
      <c r="K932" s="134"/>
      <c r="L932" s="111"/>
      <c r="M932" s="134"/>
      <c r="N932" s="134"/>
      <c r="O932" s="111"/>
      <c r="P932" s="111"/>
      <c r="Q932" s="139"/>
      <c r="R932" s="113"/>
      <c r="S932" s="113"/>
      <c r="T932" s="113"/>
      <c r="U932" s="114"/>
      <c r="V932" s="115"/>
      <c r="W932" s="116"/>
      <c r="X932" s="117"/>
      <c r="Y932" s="111"/>
      <c r="Z932" s="111"/>
      <c r="AH932" s="5"/>
      <c r="AI932" s="5"/>
    </row>
    <row r="933" spans="1:35">
      <c r="A933" s="111"/>
      <c r="B933" s="111"/>
      <c r="C933" s="5"/>
      <c r="D933" s="111"/>
      <c r="E933" s="111"/>
      <c r="F933" s="111"/>
      <c r="G933" s="111"/>
      <c r="H933" s="111"/>
      <c r="I933" s="111"/>
      <c r="J933" s="111"/>
      <c r="K933" s="134"/>
      <c r="L933" s="111"/>
      <c r="M933" s="134"/>
      <c r="N933" s="134"/>
      <c r="O933" s="111"/>
      <c r="P933" s="111"/>
      <c r="Q933" s="139"/>
      <c r="R933" s="113"/>
      <c r="S933" s="113"/>
      <c r="T933" s="113"/>
      <c r="U933" s="114"/>
      <c r="V933" s="115"/>
      <c r="W933" s="116"/>
      <c r="X933" s="117"/>
      <c r="Y933" s="111"/>
      <c r="Z933" s="111"/>
      <c r="AH933" s="5"/>
      <c r="AI933" s="5"/>
    </row>
    <row r="934" spans="1:35">
      <c r="A934" s="111"/>
      <c r="B934" s="111"/>
      <c r="C934" s="5"/>
      <c r="D934" s="111"/>
      <c r="E934" s="111"/>
      <c r="F934" s="111"/>
      <c r="G934" s="111"/>
      <c r="H934" s="111"/>
      <c r="I934" s="111"/>
      <c r="J934" s="111"/>
      <c r="K934" s="134"/>
      <c r="L934" s="111"/>
      <c r="M934" s="134"/>
      <c r="N934" s="134"/>
      <c r="O934" s="111"/>
      <c r="P934" s="111"/>
      <c r="Q934" s="139"/>
      <c r="R934" s="113"/>
      <c r="S934" s="113"/>
      <c r="T934" s="113"/>
      <c r="U934" s="114"/>
      <c r="V934" s="115"/>
      <c r="W934" s="116"/>
      <c r="X934" s="117"/>
      <c r="Y934" s="111"/>
      <c r="Z934" s="111"/>
      <c r="AH934" s="5"/>
      <c r="AI934" s="5"/>
    </row>
    <row r="935" spans="1:35">
      <c r="A935" s="111"/>
      <c r="B935" s="111"/>
      <c r="C935" s="5"/>
      <c r="D935" s="111"/>
      <c r="E935" s="111"/>
      <c r="F935" s="111"/>
      <c r="G935" s="111"/>
      <c r="H935" s="111"/>
      <c r="I935" s="111"/>
      <c r="J935" s="111"/>
      <c r="K935" s="134"/>
      <c r="L935" s="111"/>
      <c r="M935" s="134"/>
      <c r="N935" s="134"/>
      <c r="O935" s="111"/>
      <c r="P935" s="111"/>
      <c r="Q935" s="139"/>
      <c r="R935" s="113"/>
      <c r="S935" s="113"/>
      <c r="T935" s="113"/>
      <c r="U935" s="114"/>
      <c r="V935" s="115"/>
      <c r="W935" s="116"/>
      <c r="X935" s="117"/>
      <c r="Y935" s="111"/>
      <c r="Z935" s="111"/>
      <c r="AH935" s="5"/>
      <c r="AI935" s="5"/>
    </row>
    <row r="936" spans="1:35">
      <c r="A936" s="111"/>
      <c r="B936" s="111"/>
      <c r="C936" s="5"/>
      <c r="D936" s="111"/>
      <c r="E936" s="111"/>
      <c r="F936" s="111"/>
      <c r="G936" s="111"/>
      <c r="H936" s="111"/>
      <c r="I936" s="111"/>
      <c r="J936" s="111"/>
      <c r="K936" s="134"/>
      <c r="L936" s="111"/>
      <c r="M936" s="134"/>
      <c r="N936" s="134"/>
      <c r="O936" s="111"/>
      <c r="P936" s="111"/>
      <c r="Q936" s="139"/>
      <c r="R936" s="113"/>
      <c r="S936" s="113"/>
      <c r="T936" s="113"/>
      <c r="U936" s="114"/>
      <c r="V936" s="115"/>
      <c r="W936" s="116"/>
      <c r="X936" s="117"/>
      <c r="Y936" s="111"/>
      <c r="Z936" s="111"/>
      <c r="AH936" s="5"/>
      <c r="AI936" s="5"/>
    </row>
    <row r="937" spans="1:35">
      <c r="A937" s="111"/>
      <c r="B937" s="111"/>
      <c r="C937" s="5"/>
      <c r="D937" s="111"/>
      <c r="E937" s="111"/>
      <c r="F937" s="111"/>
      <c r="G937" s="111"/>
      <c r="H937" s="111"/>
      <c r="I937" s="111"/>
      <c r="J937" s="111"/>
      <c r="K937" s="134"/>
      <c r="L937" s="111"/>
      <c r="M937" s="134"/>
      <c r="N937" s="134"/>
      <c r="O937" s="111"/>
      <c r="P937" s="111"/>
      <c r="Q937" s="139"/>
      <c r="R937" s="113"/>
      <c r="S937" s="113"/>
      <c r="T937" s="113"/>
      <c r="U937" s="114"/>
      <c r="V937" s="115"/>
      <c r="W937" s="116"/>
      <c r="X937" s="117"/>
      <c r="Y937" s="111"/>
      <c r="Z937" s="111"/>
      <c r="AH937" s="5"/>
      <c r="AI937" s="5"/>
    </row>
    <row r="938" spans="1:35">
      <c r="A938" s="111"/>
      <c r="B938" s="111"/>
      <c r="C938" s="5"/>
      <c r="D938" s="111"/>
      <c r="E938" s="111"/>
      <c r="F938" s="111"/>
      <c r="G938" s="111"/>
      <c r="H938" s="111"/>
      <c r="I938" s="111"/>
      <c r="J938" s="111"/>
      <c r="K938" s="134"/>
      <c r="L938" s="111"/>
      <c r="M938" s="134"/>
      <c r="N938" s="134"/>
      <c r="O938" s="111"/>
      <c r="P938" s="111"/>
      <c r="Q938" s="139"/>
      <c r="R938" s="113"/>
      <c r="S938" s="113"/>
      <c r="T938" s="113"/>
      <c r="U938" s="114"/>
      <c r="V938" s="115"/>
      <c r="W938" s="116"/>
      <c r="X938" s="117"/>
      <c r="Y938" s="111"/>
      <c r="Z938" s="111"/>
      <c r="AH938" s="5"/>
      <c r="AI938" s="5"/>
    </row>
    <row r="939" spans="1:35">
      <c r="A939" s="111"/>
      <c r="B939" s="111"/>
      <c r="C939" s="5"/>
      <c r="D939" s="111"/>
      <c r="E939" s="111"/>
      <c r="F939" s="111"/>
      <c r="G939" s="111"/>
      <c r="H939" s="111"/>
      <c r="I939" s="111"/>
      <c r="J939" s="111"/>
      <c r="K939" s="134"/>
      <c r="L939" s="111"/>
      <c r="M939" s="134"/>
      <c r="N939" s="134"/>
      <c r="O939" s="111"/>
      <c r="P939" s="111"/>
      <c r="Q939" s="139"/>
      <c r="R939" s="113"/>
      <c r="S939" s="113"/>
      <c r="T939" s="113"/>
      <c r="U939" s="114"/>
      <c r="V939" s="115"/>
      <c r="W939" s="116"/>
      <c r="X939" s="117"/>
      <c r="Y939" s="111"/>
      <c r="Z939" s="111"/>
      <c r="AH939" s="5"/>
      <c r="AI939" s="5"/>
    </row>
    <row r="940" spans="1:35">
      <c r="A940" s="111"/>
      <c r="B940" s="111"/>
      <c r="C940" s="5"/>
      <c r="D940" s="111"/>
      <c r="E940" s="111"/>
      <c r="F940" s="111"/>
      <c r="G940" s="111"/>
      <c r="H940" s="111"/>
      <c r="I940" s="111"/>
      <c r="J940" s="111"/>
      <c r="K940" s="134"/>
      <c r="L940" s="111"/>
      <c r="M940" s="134"/>
      <c r="N940" s="134"/>
      <c r="O940" s="111"/>
      <c r="P940" s="111"/>
      <c r="Q940" s="139"/>
      <c r="R940" s="113"/>
      <c r="S940" s="113"/>
      <c r="T940" s="113"/>
      <c r="U940" s="114"/>
      <c r="V940" s="115"/>
      <c r="W940" s="116"/>
      <c r="X940" s="117"/>
      <c r="Y940" s="111"/>
      <c r="Z940" s="111"/>
      <c r="AH940" s="5"/>
      <c r="AI940" s="5"/>
    </row>
    <row r="941" spans="1:35">
      <c r="A941" s="111"/>
      <c r="B941" s="111"/>
      <c r="C941" s="5"/>
      <c r="D941" s="111"/>
      <c r="E941" s="111"/>
      <c r="F941" s="111"/>
      <c r="G941" s="111"/>
      <c r="H941" s="111"/>
      <c r="I941" s="111"/>
      <c r="J941" s="111"/>
      <c r="K941" s="134"/>
      <c r="L941" s="111"/>
      <c r="M941" s="134"/>
      <c r="N941" s="134"/>
      <c r="O941" s="111"/>
      <c r="P941" s="111"/>
      <c r="Q941" s="139"/>
      <c r="R941" s="113"/>
      <c r="S941" s="113"/>
      <c r="T941" s="113"/>
      <c r="U941" s="114"/>
      <c r="V941" s="115"/>
      <c r="W941" s="116"/>
      <c r="X941" s="117"/>
      <c r="Y941" s="111"/>
      <c r="Z941" s="111"/>
      <c r="AH941" s="5"/>
      <c r="AI941" s="5"/>
    </row>
    <row r="942" spans="1:35">
      <c r="A942" s="111"/>
      <c r="B942" s="111"/>
      <c r="C942" s="5"/>
      <c r="D942" s="111"/>
      <c r="E942" s="111"/>
      <c r="F942" s="111"/>
      <c r="G942" s="111"/>
      <c r="H942" s="111"/>
      <c r="I942" s="111"/>
      <c r="J942" s="111"/>
      <c r="K942" s="134"/>
      <c r="L942" s="111"/>
      <c r="M942" s="134"/>
      <c r="N942" s="134"/>
      <c r="O942" s="111"/>
      <c r="P942" s="111"/>
      <c r="Q942" s="139"/>
      <c r="R942" s="113"/>
      <c r="S942" s="113"/>
      <c r="T942" s="113"/>
      <c r="U942" s="114"/>
      <c r="V942" s="115"/>
      <c r="W942" s="116"/>
      <c r="X942" s="117"/>
      <c r="Y942" s="111"/>
      <c r="Z942" s="111"/>
      <c r="AH942" s="5"/>
      <c r="AI942" s="5"/>
    </row>
    <row r="943" spans="1:35">
      <c r="A943" s="111"/>
      <c r="B943" s="111"/>
      <c r="C943" s="5"/>
      <c r="D943" s="111"/>
      <c r="E943" s="111"/>
      <c r="F943" s="111"/>
      <c r="G943" s="111"/>
      <c r="H943" s="111"/>
      <c r="I943" s="111"/>
      <c r="J943" s="111"/>
      <c r="K943" s="134"/>
      <c r="L943" s="111"/>
      <c r="M943" s="134"/>
      <c r="N943" s="134"/>
      <c r="O943" s="111"/>
      <c r="P943" s="111"/>
      <c r="Q943" s="139"/>
      <c r="R943" s="113"/>
      <c r="S943" s="113"/>
      <c r="T943" s="113"/>
      <c r="U943" s="114"/>
      <c r="V943" s="115"/>
      <c r="W943" s="116"/>
      <c r="X943" s="117"/>
      <c r="Y943" s="111"/>
      <c r="Z943" s="111"/>
      <c r="AH943" s="5"/>
      <c r="AI943" s="5"/>
    </row>
    <row r="944" spans="1:35">
      <c r="A944" s="111"/>
      <c r="B944" s="111"/>
      <c r="C944" s="5"/>
      <c r="D944" s="111"/>
      <c r="E944" s="111"/>
      <c r="F944" s="111"/>
      <c r="G944" s="111"/>
      <c r="H944" s="111"/>
      <c r="I944" s="111"/>
      <c r="J944" s="111"/>
      <c r="K944" s="134"/>
      <c r="L944" s="111"/>
      <c r="M944" s="134"/>
      <c r="N944" s="134"/>
      <c r="O944" s="111"/>
      <c r="P944" s="111"/>
      <c r="Q944" s="139"/>
      <c r="R944" s="113"/>
      <c r="S944" s="113"/>
      <c r="T944" s="113"/>
      <c r="U944" s="114"/>
      <c r="V944" s="115"/>
      <c r="W944" s="116"/>
      <c r="X944" s="117"/>
      <c r="Y944" s="111"/>
      <c r="Z944" s="111"/>
      <c r="AH944" s="5"/>
      <c r="AI944" s="5"/>
    </row>
    <row r="945" spans="1:35">
      <c r="A945" s="111"/>
      <c r="B945" s="111"/>
      <c r="C945" s="5"/>
      <c r="D945" s="111"/>
      <c r="E945" s="111"/>
      <c r="F945" s="111"/>
      <c r="G945" s="111"/>
      <c r="H945" s="111"/>
      <c r="I945" s="111"/>
      <c r="J945" s="111"/>
      <c r="K945" s="134"/>
      <c r="L945" s="111"/>
      <c r="M945" s="134"/>
      <c r="N945" s="134"/>
      <c r="O945" s="111"/>
      <c r="P945" s="111"/>
      <c r="Q945" s="139"/>
      <c r="R945" s="113"/>
      <c r="S945" s="113"/>
      <c r="T945" s="113"/>
      <c r="U945" s="114"/>
      <c r="V945" s="115"/>
      <c r="W945" s="116"/>
      <c r="X945" s="117"/>
      <c r="Y945" s="111"/>
      <c r="Z945" s="111"/>
      <c r="AH945" s="5"/>
      <c r="AI945" s="5"/>
    </row>
    <row r="946" spans="1:35">
      <c r="A946" s="111"/>
      <c r="B946" s="111"/>
      <c r="C946" s="5"/>
      <c r="D946" s="111"/>
      <c r="E946" s="111"/>
      <c r="F946" s="111"/>
      <c r="G946" s="111"/>
      <c r="H946" s="111"/>
      <c r="I946" s="111"/>
      <c r="J946" s="111"/>
      <c r="K946" s="134"/>
      <c r="L946" s="111"/>
      <c r="M946" s="134"/>
      <c r="N946" s="134"/>
      <c r="O946" s="111"/>
      <c r="P946" s="111"/>
      <c r="Q946" s="139"/>
      <c r="R946" s="113"/>
      <c r="S946" s="113"/>
      <c r="T946" s="113"/>
      <c r="U946" s="114"/>
      <c r="V946" s="115"/>
      <c r="W946" s="116"/>
      <c r="X946" s="117"/>
      <c r="Y946" s="111"/>
      <c r="Z946" s="111"/>
      <c r="AH946" s="5"/>
      <c r="AI946" s="5"/>
    </row>
    <row r="947" spans="1:35">
      <c r="A947" s="111"/>
      <c r="B947" s="111"/>
      <c r="C947" s="5"/>
      <c r="D947" s="111"/>
      <c r="E947" s="111"/>
      <c r="F947" s="111"/>
      <c r="G947" s="111"/>
      <c r="H947" s="111"/>
      <c r="I947" s="111"/>
      <c r="J947" s="111"/>
      <c r="K947" s="134"/>
      <c r="L947" s="111"/>
      <c r="M947" s="134"/>
      <c r="N947" s="134"/>
      <c r="O947" s="111"/>
      <c r="P947" s="111"/>
      <c r="Q947" s="139"/>
      <c r="R947" s="113"/>
      <c r="S947" s="113"/>
      <c r="T947" s="113"/>
      <c r="U947" s="114"/>
      <c r="V947" s="115"/>
      <c r="W947" s="116"/>
      <c r="X947" s="117"/>
      <c r="Y947" s="111"/>
      <c r="Z947" s="111"/>
      <c r="AH947" s="5"/>
      <c r="AI947" s="5"/>
    </row>
    <row r="948" spans="1:35">
      <c r="A948" s="111"/>
      <c r="B948" s="111"/>
      <c r="C948" s="5"/>
      <c r="D948" s="111"/>
      <c r="E948" s="111"/>
      <c r="F948" s="111"/>
      <c r="G948" s="111"/>
      <c r="H948" s="111"/>
      <c r="I948" s="111"/>
      <c r="J948" s="111"/>
      <c r="K948" s="134"/>
      <c r="L948" s="111"/>
      <c r="M948" s="134"/>
      <c r="N948" s="134"/>
      <c r="O948" s="111"/>
      <c r="P948" s="111"/>
      <c r="Q948" s="139"/>
      <c r="R948" s="113"/>
      <c r="S948" s="113"/>
      <c r="T948" s="113"/>
      <c r="U948" s="114"/>
      <c r="V948" s="115"/>
      <c r="W948" s="116"/>
      <c r="X948" s="117"/>
      <c r="Y948" s="111"/>
      <c r="Z948" s="111"/>
      <c r="AH948" s="5"/>
      <c r="AI948" s="5"/>
    </row>
    <row r="949" spans="1:35">
      <c r="A949" s="111"/>
      <c r="B949" s="111"/>
      <c r="C949" s="5"/>
      <c r="D949" s="111"/>
      <c r="E949" s="111"/>
      <c r="F949" s="111"/>
      <c r="G949" s="111"/>
      <c r="H949" s="111"/>
      <c r="I949" s="111"/>
      <c r="J949" s="111"/>
      <c r="K949" s="134"/>
      <c r="L949" s="111"/>
      <c r="M949" s="134"/>
      <c r="N949" s="134"/>
      <c r="O949" s="111"/>
      <c r="P949" s="111"/>
      <c r="Q949" s="139"/>
      <c r="R949" s="113"/>
      <c r="S949" s="113"/>
      <c r="T949" s="113"/>
      <c r="U949" s="114"/>
      <c r="V949" s="115"/>
      <c r="W949" s="116"/>
      <c r="X949" s="117"/>
      <c r="Y949" s="111"/>
      <c r="Z949" s="111"/>
      <c r="AH949" s="5"/>
      <c r="AI949" s="5"/>
    </row>
    <row r="950" spans="1:35">
      <c r="A950" s="111"/>
      <c r="B950" s="111"/>
      <c r="C950" s="5"/>
      <c r="D950" s="111"/>
      <c r="E950" s="111"/>
      <c r="F950" s="111"/>
      <c r="G950" s="111"/>
      <c r="H950" s="111"/>
      <c r="I950" s="111"/>
      <c r="J950" s="111"/>
      <c r="K950" s="134"/>
      <c r="L950" s="111"/>
      <c r="M950" s="134"/>
      <c r="N950" s="134"/>
      <c r="O950" s="111"/>
      <c r="P950" s="111"/>
      <c r="Q950" s="139"/>
      <c r="R950" s="113"/>
      <c r="S950" s="113"/>
      <c r="T950" s="113"/>
      <c r="U950" s="114"/>
      <c r="V950" s="115"/>
      <c r="W950" s="116"/>
      <c r="X950" s="117"/>
      <c r="Y950" s="111"/>
      <c r="Z950" s="111"/>
      <c r="AH950" s="5"/>
      <c r="AI950" s="5"/>
    </row>
    <row r="951" spans="1:35">
      <c r="A951" s="111"/>
      <c r="B951" s="111"/>
      <c r="C951" s="5"/>
      <c r="D951" s="111"/>
      <c r="E951" s="111"/>
      <c r="F951" s="111"/>
      <c r="G951" s="111"/>
      <c r="H951" s="111"/>
      <c r="I951" s="111"/>
      <c r="J951" s="111"/>
      <c r="K951" s="134"/>
      <c r="L951" s="111"/>
      <c r="M951" s="134"/>
      <c r="N951" s="134"/>
      <c r="O951" s="111"/>
      <c r="P951" s="111"/>
      <c r="Q951" s="139"/>
      <c r="R951" s="113"/>
      <c r="S951" s="113"/>
      <c r="T951" s="113"/>
      <c r="U951" s="114"/>
      <c r="V951" s="115"/>
      <c r="W951" s="116"/>
      <c r="X951" s="117"/>
      <c r="Y951" s="111"/>
      <c r="Z951" s="111"/>
      <c r="AH951" s="5"/>
      <c r="AI951" s="5"/>
    </row>
    <row r="952" spans="1:35">
      <c r="A952" s="111"/>
      <c r="B952" s="111"/>
      <c r="C952" s="5"/>
      <c r="D952" s="111"/>
      <c r="E952" s="111"/>
      <c r="F952" s="111"/>
      <c r="G952" s="111"/>
      <c r="H952" s="111"/>
      <c r="I952" s="111"/>
      <c r="J952" s="111"/>
      <c r="K952" s="134"/>
      <c r="L952" s="111"/>
      <c r="M952" s="134"/>
      <c r="N952" s="134"/>
      <c r="O952" s="111"/>
      <c r="P952" s="111"/>
      <c r="Q952" s="139"/>
      <c r="R952" s="113"/>
      <c r="S952" s="113"/>
      <c r="T952" s="113"/>
      <c r="U952" s="114"/>
      <c r="V952" s="115"/>
      <c r="W952" s="116"/>
      <c r="X952" s="117"/>
      <c r="Y952" s="111"/>
      <c r="Z952" s="111"/>
      <c r="AH952" s="5"/>
      <c r="AI952" s="5"/>
    </row>
    <row r="953" spans="1:35">
      <c r="A953" s="111"/>
      <c r="B953" s="111"/>
      <c r="C953" s="5"/>
      <c r="D953" s="111"/>
      <c r="E953" s="111"/>
      <c r="F953" s="111"/>
      <c r="G953" s="111"/>
      <c r="H953" s="111"/>
      <c r="I953" s="111"/>
      <c r="J953" s="111"/>
      <c r="K953" s="134"/>
      <c r="L953" s="111"/>
      <c r="M953" s="134"/>
      <c r="N953" s="134"/>
      <c r="O953" s="111"/>
      <c r="P953" s="111"/>
      <c r="Q953" s="139"/>
      <c r="R953" s="113"/>
      <c r="S953" s="113"/>
      <c r="T953" s="113"/>
      <c r="U953" s="114"/>
      <c r="V953" s="115"/>
      <c r="W953" s="116"/>
      <c r="X953" s="117"/>
      <c r="Y953" s="111"/>
      <c r="Z953" s="111"/>
      <c r="AH953" s="5"/>
      <c r="AI953" s="5"/>
    </row>
    <row r="954" spans="1:35">
      <c r="A954" s="111"/>
      <c r="B954" s="111"/>
      <c r="C954" s="5"/>
      <c r="D954" s="111"/>
      <c r="E954" s="111"/>
      <c r="F954" s="111"/>
      <c r="G954" s="111"/>
      <c r="H954" s="111"/>
      <c r="I954" s="111"/>
      <c r="J954" s="111"/>
      <c r="K954" s="134"/>
      <c r="L954" s="111"/>
      <c r="M954" s="134"/>
      <c r="N954" s="134"/>
      <c r="O954" s="111"/>
      <c r="P954" s="111"/>
      <c r="Q954" s="139"/>
      <c r="R954" s="113"/>
      <c r="S954" s="113"/>
      <c r="T954" s="113"/>
      <c r="U954" s="114"/>
      <c r="V954" s="115"/>
      <c r="W954" s="116"/>
      <c r="X954" s="117"/>
      <c r="Y954" s="111"/>
      <c r="Z954" s="111"/>
      <c r="AH954" s="5"/>
      <c r="AI954" s="5"/>
    </row>
    <row r="955" spans="1:35">
      <c r="A955" s="111"/>
      <c r="B955" s="111"/>
      <c r="C955" s="5"/>
      <c r="D955" s="111"/>
      <c r="E955" s="111"/>
      <c r="F955" s="111"/>
      <c r="G955" s="111"/>
      <c r="H955" s="111"/>
      <c r="I955" s="111"/>
      <c r="J955" s="111"/>
      <c r="K955" s="134"/>
      <c r="L955" s="111"/>
      <c r="M955" s="134"/>
      <c r="N955" s="134"/>
      <c r="O955" s="111"/>
      <c r="P955" s="111"/>
      <c r="Q955" s="139"/>
      <c r="R955" s="113"/>
      <c r="S955" s="113"/>
      <c r="T955" s="113"/>
      <c r="U955" s="114"/>
      <c r="V955" s="115"/>
      <c r="W955" s="116"/>
      <c r="X955" s="117"/>
      <c r="Y955" s="111"/>
      <c r="Z955" s="111"/>
      <c r="AH955" s="5"/>
      <c r="AI955" s="5"/>
    </row>
    <row r="956" spans="1:35">
      <c r="A956" s="111"/>
      <c r="B956" s="111"/>
      <c r="C956" s="5"/>
      <c r="D956" s="111"/>
      <c r="E956" s="111"/>
      <c r="F956" s="111"/>
      <c r="G956" s="111"/>
      <c r="H956" s="111"/>
      <c r="I956" s="111"/>
      <c r="J956" s="111"/>
      <c r="K956" s="134"/>
      <c r="L956" s="111"/>
      <c r="M956" s="134"/>
      <c r="N956" s="134"/>
      <c r="O956" s="111"/>
      <c r="P956" s="111"/>
      <c r="Q956" s="139"/>
      <c r="R956" s="113"/>
      <c r="S956" s="113"/>
      <c r="T956" s="113"/>
      <c r="U956" s="114"/>
      <c r="V956" s="115"/>
      <c r="W956" s="116"/>
      <c r="X956" s="117"/>
      <c r="Y956" s="111"/>
      <c r="Z956" s="111"/>
      <c r="AH956" s="5"/>
      <c r="AI956" s="5"/>
    </row>
    <row r="957" spans="1:35">
      <c r="A957" s="111"/>
      <c r="B957" s="111"/>
      <c r="C957" s="5"/>
      <c r="D957" s="111"/>
      <c r="E957" s="111"/>
      <c r="F957" s="111"/>
      <c r="G957" s="111"/>
      <c r="H957" s="111"/>
      <c r="I957" s="111"/>
      <c r="J957" s="111"/>
      <c r="K957" s="134"/>
      <c r="L957" s="111"/>
      <c r="M957" s="134"/>
      <c r="N957" s="134"/>
      <c r="O957" s="111"/>
      <c r="P957" s="111"/>
      <c r="Q957" s="139"/>
      <c r="R957" s="113"/>
      <c r="S957" s="113"/>
      <c r="T957" s="113"/>
      <c r="U957" s="114"/>
      <c r="V957" s="115"/>
      <c r="W957" s="116"/>
      <c r="X957" s="117"/>
      <c r="Y957" s="111"/>
      <c r="Z957" s="111"/>
      <c r="AH957" s="5"/>
      <c r="AI957" s="5"/>
    </row>
    <row r="958" spans="1:35">
      <c r="A958" s="111"/>
      <c r="B958" s="111"/>
      <c r="C958" s="5"/>
      <c r="D958" s="111"/>
      <c r="E958" s="111"/>
      <c r="F958" s="111"/>
      <c r="G958" s="111"/>
      <c r="H958" s="111"/>
      <c r="I958" s="111"/>
      <c r="J958" s="111"/>
      <c r="K958" s="134"/>
      <c r="L958" s="111"/>
      <c r="M958" s="134"/>
      <c r="N958" s="134"/>
      <c r="O958" s="111"/>
      <c r="P958" s="111"/>
      <c r="Q958" s="139"/>
      <c r="R958" s="113"/>
      <c r="S958" s="113"/>
      <c r="T958" s="113"/>
      <c r="U958" s="114"/>
      <c r="V958" s="115"/>
      <c r="W958" s="116"/>
      <c r="X958" s="117"/>
      <c r="Y958" s="111"/>
      <c r="Z958" s="111"/>
      <c r="AH958" s="5"/>
      <c r="AI958" s="5"/>
    </row>
    <row r="959" spans="1:35">
      <c r="A959" s="111"/>
      <c r="B959" s="111"/>
      <c r="C959" s="5"/>
      <c r="D959" s="111"/>
      <c r="E959" s="111"/>
      <c r="F959" s="111"/>
      <c r="G959" s="111"/>
      <c r="H959" s="111"/>
      <c r="I959" s="111"/>
      <c r="J959" s="111"/>
      <c r="K959" s="134"/>
      <c r="L959" s="111"/>
      <c r="M959" s="134"/>
      <c r="N959" s="134"/>
      <c r="O959" s="111"/>
      <c r="P959" s="111"/>
      <c r="Q959" s="139"/>
      <c r="R959" s="113"/>
      <c r="S959" s="113"/>
      <c r="T959" s="113"/>
      <c r="U959" s="114"/>
      <c r="V959" s="115"/>
      <c r="W959" s="116"/>
      <c r="X959" s="117"/>
      <c r="Y959" s="111"/>
      <c r="Z959" s="111"/>
      <c r="AH959" s="5"/>
      <c r="AI959" s="5"/>
    </row>
    <row r="960" spans="1:35">
      <c r="A960" s="111"/>
      <c r="B960" s="111"/>
      <c r="C960" s="5"/>
      <c r="D960" s="111"/>
      <c r="E960" s="111"/>
      <c r="F960" s="111"/>
      <c r="G960" s="111"/>
      <c r="H960" s="111"/>
      <c r="I960" s="111"/>
      <c r="J960" s="111"/>
      <c r="K960" s="134"/>
      <c r="L960" s="111"/>
      <c r="M960" s="134"/>
      <c r="N960" s="134"/>
      <c r="O960" s="111"/>
      <c r="P960" s="111"/>
      <c r="Q960" s="139"/>
      <c r="R960" s="113"/>
      <c r="S960" s="113"/>
      <c r="T960" s="113"/>
      <c r="U960" s="114"/>
      <c r="V960" s="115"/>
      <c r="W960" s="116"/>
      <c r="X960" s="117"/>
      <c r="Y960" s="111"/>
      <c r="Z960" s="111"/>
      <c r="AH960" s="5"/>
      <c r="AI960" s="5"/>
    </row>
    <row r="961" spans="1:35">
      <c r="A961" s="111"/>
      <c r="B961" s="111"/>
      <c r="C961" s="5"/>
      <c r="D961" s="111"/>
      <c r="E961" s="111"/>
      <c r="F961" s="111"/>
      <c r="G961" s="111"/>
      <c r="H961" s="111"/>
      <c r="I961" s="111"/>
      <c r="J961" s="111"/>
      <c r="K961" s="134"/>
      <c r="L961" s="111"/>
      <c r="M961" s="134"/>
      <c r="N961" s="134"/>
      <c r="O961" s="111"/>
      <c r="P961" s="111"/>
      <c r="Q961" s="139"/>
      <c r="R961" s="113"/>
      <c r="S961" s="113"/>
      <c r="T961" s="113"/>
      <c r="U961" s="114"/>
      <c r="V961" s="115"/>
      <c r="W961" s="116"/>
      <c r="X961" s="117"/>
      <c r="Y961" s="111"/>
      <c r="Z961" s="111"/>
      <c r="AH961" s="5"/>
      <c r="AI961" s="5"/>
    </row>
    <row r="962" spans="1:35">
      <c r="A962" s="111"/>
      <c r="B962" s="111"/>
      <c r="C962" s="5"/>
      <c r="D962" s="111"/>
      <c r="E962" s="111"/>
      <c r="F962" s="111"/>
      <c r="G962" s="111"/>
      <c r="H962" s="111"/>
      <c r="I962" s="111"/>
      <c r="J962" s="111"/>
      <c r="K962" s="134"/>
      <c r="L962" s="111"/>
      <c r="M962" s="134"/>
      <c r="N962" s="134"/>
      <c r="O962" s="111"/>
      <c r="P962" s="111"/>
      <c r="Q962" s="139"/>
      <c r="R962" s="113"/>
      <c r="S962" s="113"/>
      <c r="T962" s="113"/>
      <c r="U962" s="114"/>
      <c r="V962" s="115"/>
      <c r="W962" s="116"/>
      <c r="X962" s="117"/>
      <c r="Y962" s="111"/>
      <c r="Z962" s="111"/>
      <c r="AH962" s="5"/>
      <c r="AI962" s="5"/>
    </row>
    <row r="963" spans="1:35">
      <c r="A963" s="111"/>
      <c r="B963" s="111"/>
      <c r="C963" s="5"/>
      <c r="D963" s="111"/>
      <c r="E963" s="111"/>
      <c r="F963" s="111"/>
      <c r="G963" s="111"/>
      <c r="H963" s="111"/>
      <c r="I963" s="111"/>
      <c r="J963" s="111"/>
      <c r="K963" s="134"/>
      <c r="L963" s="111"/>
      <c r="M963" s="134"/>
      <c r="N963" s="134"/>
      <c r="O963" s="111"/>
      <c r="P963" s="111"/>
      <c r="Q963" s="139"/>
      <c r="R963" s="113"/>
      <c r="S963" s="113"/>
      <c r="T963" s="113"/>
      <c r="U963" s="114"/>
      <c r="V963" s="115"/>
      <c r="W963" s="116"/>
      <c r="X963" s="117"/>
      <c r="Y963" s="111"/>
      <c r="Z963" s="111"/>
      <c r="AH963" s="5"/>
      <c r="AI963" s="5"/>
    </row>
    <row r="964" spans="1:35">
      <c r="A964" s="111"/>
      <c r="B964" s="111"/>
      <c r="C964" s="5"/>
      <c r="D964" s="111"/>
      <c r="E964" s="111"/>
      <c r="F964" s="111"/>
      <c r="G964" s="111"/>
      <c r="H964" s="111"/>
      <c r="I964" s="111"/>
      <c r="J964" s="111"/>
      <c r="K964" s="134"/>
      <c r="L964" s="111"/>
      <c r="M964" s="134"/>
      <c r="N964" s="134"/>
      <c r="O964" s="111"/>
      <c r="P964" s="111"/>
      <c r="Q964" s="139"/>
      <c r="R964" s="113"/>
      <c r="S964" s="113"/>
      <c r="T964" s="113"/>
      <c r="U964" s="114"/>
      <c r="V964" s="115"/>
      <c r="W964" s="116"/>
      <c r="X964" s="117"/>
      <c r="Y964" s="111"/>
      <c r="Z964" s="111"/>
      <c r="AH964" s="5"/>
      <c r="AI964" s="5"/>
    </row>
    <row r="965" spans="1:35">
      <c r="A965" s="111"/>
      <c r="B965" s="111"/>
      <c r="C965" s="5"/>
      <c r="D965" s="111"/>
      <c r="E965" s="111"/>
      <c r="F965" s="111"/>
      <c r="G965" s="111"/>
      <c r="H965" s="111"/>
      <c r="I965" s="111"/>
      <c r="J965" s="111"/>
      <c r="K965" s="134"/>
      <c r="L965" s="111"/>
      <c r="M965" s="134"/>
      <c r="N965" s="134"/>
      <c r="O965" s="111"/>
      <c r="P965" s="111"/>
      <c r="Q965" s="139"/>
      <c r="R965" s="113"/>
      <c r="S965" s="113"/>
      <c r="T965" s="113"/>
      <c r="U965" s="114"/>
      <c r="V965" s="115"/>
      <c r="W965" s="116"/>
      <c r="X965" s="117"/>
      <c r="Y965" s="111"/>
      <c r="Z965" s="111"/>
      <c r="AH965" s="5"/>
      <c r="AI965" s="5"/>
    </row>
    <row r="966" spans="1:35">
      <c r="A966" s="111"/>
      <c r="B966" s="111"/>
      <c r="C966" s="5"/>
      <c r="D966" s="111"/>
      <c r="E966" s="111"/>
      <c r="F966" s="111"/>
      <c r="G966" s="111"/>
      <c r="H966" s="111"/>
      <c r="I966" s="111"/>
      <c r="J966" s="111"/>
      <c r="K966" s="134"/>
      <c r="L966" s="111"/>
      <c r="M966" s="134"/>
      <c r="N966" s="134"/>
      <c r="O966" s="111"/>
      <c r="P966" s="111"/>
      <c r="Q966" s="139"/>
      <c r="R966" s="113"/>
      <c r="S966" s="113"/>
      <c r="T966" s="113"/>
      <c r="U966" s="114"/>
      <c r="V966" s="115"/>
      <c r="W966" s="116"/>
      <c r="X966" s="117"/>
      <c r="Y966" s="111"/>
      <c r="Z966" s="111"/>
      <c r="AH966" s="5"/>
      <c r="AI966" s="5"/>
    </row>
    <row r="967" spans="1:35">
      <c r="A967" s="111"/>
      <c r="B967" s="111"/>
      <c r="C967" s="5"/>
      <c r="D967" s="111"/>
      <c r="E967" s="111"/>
      <c r="F967" s="111"/>
      <c r="G967" s="111"/>
      <c r="H967" s="111"/>
      <c r="I967" s="111"/>
      <c r="J967" s="111"/>
      <c r="K967" s="134"/>
      <c r="L967" s="111"/>
      <c r="M967" s="134"/>
      <c r="N967" s="134"/>
      <c r="O967" s="111"/>
      <c r="P967" s="111"/>
      <c r="Q967" s="139"/>
      <c r="R967" s="113"/>
      <c r="S967" s="113"/>
      <c r="T967" s="113"/>
      <c r="U967" s="114"/>
      <c r="V967" s="115"/>
      <c r="W967" s="116"/>
      <c r="X967" s="117"/>
      <c r="Y967" s="111"/>
      <c r="Z967" s="111"/>
      <c r="AH967" s="5"/>
      <c r="AI967" s="5"/>
    </row>
    <row r="968" spans="1:35">
      <c r="A968" s="111"/>
      <c r="B968" s="111"/>
      <c r="C968" s="5"/>
      <c r="D968" s="111"/>
      <c r="E968" s="111"/>
      <c r="F968" s="111"/>
      <c r="G968" s="111"/>
      <c r="H968" s="111"/>
      <c r="I968" s="111"/>
      <c r="J968" s="111"/>
      <c r="K968" s="134"/>
      <c r="L968" s="111"/>
      <c r="M968" s="134"/>
      <c r="N968" s="134"/>
      <c r="O968" s="111"/>
      <c r="P968" s="111"/>
      <c r="Q968" s="139"/>
      <c r="R968" s="113"/>
      <c r="S968" s="113"/>
      <c r="T968" s="113"/>
      <c r="U968" s="114"/>
      <c r="V968" s="115"/>
      <c r="W968" s="116"/>
      <c r="X968" s="117"/>
      <c r="Y968" s="111"/>
      <c r="Z968" s="111"/>
      <c r="AH968" s="5"/>
      <c r="AI968" s="5"/>
    </row>
    <row r="969" spans="1:35">
      <c r="A969" s="111"/>
      <c r="B969" s="111"/>
      <c r="C969" s="5"/>
      <c r="D969" s="111"/>
      <c r="E969" s="111"/>
      <c r="F969" s="111"/>
      <c r="G969" s="111"/>
      <c r="H969" s="111"/>
      <c r="I969" s="111"/>
      <c r="J969" s="111"/>
      <c r="K969" s="134"/>
      <c r="L969" s="111"/>
      <c r="M969" s="134"/>
      <c r="N969" s="134"/>
      <c r="O969" s="111"/>
      <c r="P969" s="111"/>
      <c r="Q969" s="139"/>
      <c r="R969" s="113"/>
      <c r="S969" s="113"/>
      <c r="T969" s="113"/>
      <c r="U969" s="114"/>
      <c r="V969" s="115"/>
      <c r="W969" s="116"/>
      <c r="X969" s="117"/>
      <c r="Y969" s="111"/>
      <c r="Z969" s="111"/>
      <c r="AH969" s="5"/>
      <c r="AI969" s="5"/>
    </row>
    <row r="970" spans="1:35">
      <c r="A970" s="111"/>
      <c r="B970" s="111"/>
      <c r="C970" s="5"/>
      <c r="D970" s="111"/>
      <c r="E970" s="111"/>
      <c r="F970" s="111"/>
      <c r="G970" s="111"/>
      <c r="H970" s="111"/>
      <c r="I970" s="111"/>
      <c r="J970" s="111"/>
      <c r="K970" s="134"/>
      <c r="L970" s="111"/>
      <c r="M970" s="134"/>
      <c r="N970" s="134"/>
      <c r="O970" s="111"/>
      <c r="P970" s="111"/>
      <c r="Q970" s="139"/>
      <c r="R970" s="113"/>
      <c r="S970" s="113"/>
      <c r="T970" s="113"/>
      <c r="U970" s="114"/>
      <c r="V970" s="115"/>
      <c r="W970" s="116"/>
      <c r="X970" s="117"/>
      <c r="Y970" s="111"/>
      <c r="Z970" s="111"/>
      <c r="AH970" s="5"/>
      <c r="AI970" s="5"/>
    </row>
    <row r="971" spans="1:35">
      <c r="A971" s="111"/>
      <c r="B971" s="111"/>
      <c r="C971" s="5"/>
      <c r="D971" s="111"/>
      <c r="E971" s="111"/>
      <c r="F971" s="111"/>
      <c r="G971" s="111"/>
      <c r="H971" s="111"/>
      <c r="I971" s="111"/>
      <c r="J971" s="111"/>
      <c r="K971" s="134"/>
      <c r="L971" s="111"/>
      <c r="M971" s="134"/>
      <c r="N971" s="134"/>
      <c r="O971" s="111"/>
      <c r="P971" s="111"/>
      <c r="Q971" s="139"/>
      <c r="R971" s="113"/>
      <c r="S971" s="113"/>
      <c r="T971" s="113"/>
      <c r="U971" s="114"/>
      <c r="V971" s="115"/>
      <c r="W971" s="116"/>
      <c r="X971" s="117"/>
      <c r="Y971" s="111"/>
      <c r="Z971" s="111"/>
      <c r="AH971" s="5"/>
      <c r="AI971" s="5"/>
    </row>
    <row r="972" spans="1:35">
      <c r="A972" s="111"/>
      <c r="B972" s="111"/>
      <c r="C972" s="5"/>
      <c r="D972" s="111"/>
      <c r="E972" s="111"/>
      <c r="F972" s="111"/>
      <c r="G972" s="111"/>
      <c r="H972" s="111"/>
      <c r="I972" s="111"/>
      <c r="J972" s="111"/>
      <c r="K972" s="134"/>
      <c r="L972" s="111"/>
      <c r="M972" s="134"/>
      <c r="N972" s="134"/>
      <c r="O972" s="111"/>
      <c r="P972" s="111"/>
      <c r="Q972" s="139"/>
      <c r="R972" s="113"/>
      <c r="S972" s="113"/>
      <c r="T972" s="113"/>
      <c r="U972" s="114"/>
      <c r="V972" s="115"/>
      <c r="W972" s="116"/>
      <c r="X972" s="117"/>
      <c r="Y972" s="111"/>
      <c r="Z972" s="111"/>
      <c r="AH972" s="5"/>
      <c r="AI972" s="5"/>
    </row>
    <row r="973" spans="1:35">
      <c r="A973" s="111"/>
      <c r="B973" s="111"/>
      <c r="C973" s="5"/>
      <c r="D973" s="111"/>
      <c r="E973" s="111"/>
      <c r="F973" s="111"/>
      <c r="G973" s="111"/>
      <c r="H973" s="111"/>
      <c r="I973" s="111"/>
      <c r="J973" s="111"/>
      <c r="K973" s="134"/>
      <c r="L973" s="111"/>
      <c r="M973" s="134"/>
      <c r="N973" s="134"/>
      <c r="O973" s="111"/>
      <c r="P973" s="111"/>
      <c r="Q973" s="139"/>
      <c r="R973" s="113"/>
      <c r="S973" s="113"/>
      <c r="T973" s="113"/>
      <c r="U973" s="114"/>
      <c r="V973" s="115"/>
      <c r="W973" s="116"/>
      <c r="X973" s="117"/>
      <c r="Y973" s="111"/>
      <c r="Z973" s="111"/>
      <c r="AH973" s="5"/>
      <c r="AI973" s="5"/>
    </row>
    <row r="974" spans="1:35">
      <c r="A974" s="111"/>
      <c r="B974" s="111"/>
      <c r="C974" s="5"/>
      <c r="D974" s="111"/>
      <c r="E974" s="111"/>
      <c r="F974" s="111"/>
      <c r="G974" s="111"/>
      <c r="H974" s="111"/>
      <c r="I974" s="111"/>
      <c r="J974" s="111"/>
      <c r="K974" s="134"/>
      <c r="L974" s="111"/>
      <c r="M974" s="134"/>
      <c r="N974" s="134"/>
      <c r="O974" s="111"/>
      <c r="P974" s="111"/>
      <c r="Q974" s="139"/>
      <c r="R974" s="113"/>
      <c r="S974" s="113"/>
      <c r="T974" s="113"/>
      <c r="U974" s="114"/>
      <c r="V974" s="115"/>
      <c r="W974" s="116"/>
      <c r="X974" s="117"/>
      <c r="Y974" s="111"/>
      <c r="Z974" s="111"/>
      <c r="AH974" s="5"/>
      <c r="AI974" s="5"/>
    </row>
    <row r="975" spans="1:35">
      <c r="A975" s="111"/>
      <c r="B975" s="111"/>
      <c r="C975" s="5"/>
      <c r="D975" s="111"/>
      <c r="E975" s="111"/>
      <c r="F975" s="111"/>
      <c r="G975" s="111"/>
      <c r="H975" s="111"/>
      <c r="I975" s="111"/>
      <c r="J975" s="111"/>
      <c r="K975" s="134"/>
      <c r="L975" s="111"/>
      <c r="M975" s="134"/>
      <c r="N975" s="134"/>
      <c r="O975" s="111"/>
      <c r="P975" s="111"/>
      <c r="Q975" s="139"/>
      <c r="R975" s="113"/>
      <c r="S975" s="113"/>
      <c r="T975" s="113"/>
      <c r="U975" s="114"/>
      <c r="V975" s="115"/>
      <c r="W975" s="116"/>
      <c r="X975" s="117"/>
      <c r="Y975" s="111"/>
      <c r="Z975" s="111"/>
      <c r="AH975" s="5"/>
      <c r="AI975" s="5"/>
    </row>
    <row r="976" spans="1:35">
      <c r="A976" s="111"/>
      <c r="B976" s="111"/>
      <c r="C976" s="5"/>
      <c r="D976" s="111"/>
      <c r="E976" s="111"/>
      <c r="F976" s="111"/>
      <c r="G976" s="111"/>
      <c r="H976" s="111"/>
      <c r="I976" s="111"/>
      <c r="J976" s="111"/>
      <c r="K976" s="134"/>
      <c r="L976" s="111"/>
      <c r="M976" s="134"/>
      <c r="N976" s="134"/>
      <c r="O976" s="111"/>
      <c r="P976" s="111"/>
      <c r="Q976" s="139"/>
      <c r="R976" s="113"/>
      <c r="S976" s="113"/>
      <c r="T976" s="113"/>
      <c r="U976" s="114"/>
      <c r="V976" s="115"/>
      <c r="W976" s="116"/>
      <c r="X976" s="117"/>
      <c r="Y976" s="111"/>
      <c r="Z976" s="111"/>
      <c r="AH976" s="5"/>
      <c r="AI976" s="5"/>
    </row>
    <row r="977" spans="1:35">
      <c r="A977" s="111"/>
      <c r="B977" s="111"/>
      <c r="C977" s="5"/>
      <c r="D977" s="111"/>
      <c r="E977" s="111"/>
      <c r="F977" s="111"/>
      <c r="G977" s="111"/>
      <c r="H977" s="111"/>
      <c r="I977" s="111"/>
      <c r="J977" s="111"/>
      <c r="K977" s="134"/>
      <c r="L977" s="111"/>
      <c r="M977" s="134"/>
      <c r="N977" s="134"/>
      <c r="O977" s="111"/>
      <c r="P977" s="111"/>
      <c r="Q977" s="139"/>
      <c r="R977" s="113"/>
      <c r="S977" s="113"/>
      <c r="T977" s="113"/>
      <c r="U977" s="114"/>
      <c r="V977" s="115"/>
      <c r="W977" s="116"/>
      <c r="X977" s="117"/>
      <c r="Y977" s="111"/>
      <c r="Z977" s="111"/>
      <c r="AH977" s="5"/>
      <c r="AI977" s="5"/>
    </row>
    <row r="978" spans="1:35">
      <c r="A978" s="111"/>
      <c r="B978" s="111"/>
      <c r="C978" s="5"/>
      <c r="D978" s="111"/>
      <c r="E978" s="111"/>
      <c r="F978" s="111"/>
      <c r="G978" s="111"/>
      <c r="H978" s="111"/>
      <c r="I978" s="111"/>
      <c r="J978" s="111"/>
      <c r="K978" s="134"/>
      <c r="L978" s="111"/>
      <c r="M978" s="134"/>
      <c r="N978" s="134"/>
      <c r="O978" s="111"/>
      <c r="P978" s="111"/>
      <c r="Q978" s="139"/>
      <c r="R978" s="113"/>
      <c r="S978" s="113"/>
      <c r="T978" s="113"/>
      <c r="U978" s="114"/>
      <c r="V978" s="115"/>
      <c r="W978" s="116"/>
      <c r="X978" s="117"/>
      <c r="Y978" s="111"/>
      <c r="Z978" s="111"/>
      <c r="AH978" s="5"/>
      <c r="AI978" s="5"/>
    </row>
    <row r="979" spans="1:35">
      <c r="A979" s="111"/>
      <c r="B979" s="111"/>
      <c r="C979" s="5"/>
      <c r="D979" s="111"/>
      <c r="E979" s="111"/>
      <c r="F979" s="111"/>
      <c r="G979" s="111"/>
      <c r="H979" s="111"/>
      <c r="I979" s="111"/>
      <c r="J979" s="111"/>
      <c r="K979" s="134"/>
      <c r="L979" s="111"/>
      <c r="M979" s="134"/>
      <c r="N979" s="134"/>
      <c r="O979" s="111"/>
      <c r="P979" s="111"/>
      <c r="Q979" s="139"/>
      <c r="R979" s="113"/>
      <c r="S979" s="113"/>
      <c r="T979" s="113"/>
      <c r="U979" s="114"/>
      <c r="V979" s="115"/>
      <c r="W979" s="116"/>
      <c r="X979" s="117"/>
      <c r="Y979" s="111"/>
      <c r="Z979" s="111"/>
      <c r="AH979" s="5"/>
      <c r="AI979" s="5"/>
    </row>
    <row r="980" spans="1:35">
      <c r="A980" s="111"/>
      <c r="B980" s="111"/>
      <c r="C980" s="5"/>
      <c r="D980" s="111"/>
      <c r="E980" s="111"/>
      <c r="F980" s="111"/>
      <c r="G980" s="111"/>
      <c r="H980" s="111"/>
      <c r="I980" s="111"/>
      <c r="J980" s="111"/>
      <c r="K980" s="134"/>
      <c r="L980" s="111"/>
      <c r="M980" s="134"/>
      <c r="N980" s="134"/>
      <c r="O980" s="111"/>
      <c r="P980" s="111"/>
      <c r="Q980" s="139"/>
      <c r="R980" s="113"/>
      <c r="S980" s="113"/>
      <c r="T980" s="113"/>
      <c r="U980" s="114"/>
      <c r="V980" s="115"/>
      <c r="W980" s="116"/>
      <c r="X980" s="117"/>
      <c r="Y980" s="111"/>
      <c r="Z980" s="111"/>
      <c r="AH980" s="5"/>
      <c r="AI980" s="5"/>
    </row>
    <row r="981" spans="1:35">
      <c r="A981" s="111"/>
      <c r="B981" s="111"/>
      <c r="C981" s="5"/>
      <c r="D981" s="111"/>
      <c r="E981" s="111"/>
      <c r="F981" s="111"/>
      <c r="G981" s="111"/>
      <c r="H981" s="111"/>
      <c r="I981" s="111"/>
      <c r="J981" s="111"/>
      <c r="K981" s="134"/>
      <c r="L981" s="111"/>
      <c r="M981" s="134"/>
      <c r="N981" s="134"/>
      <c r="O981" s="111"/>
      <c r="P981" s="111"/>
      <c r="Q981" s="139"/>
      <c r="R981" s="113"/>
      <c r="S981" s="113"/>
      <c r="T981" s="113"/>
      <c r="U981" s="114"/>
      <c r="V981" s="115"/>
      <c r="W981" s="116"/>
      <c r="X981" s="117"/>
      <c r="Y981" s="111"/>
      <c r="Z981" s="111"/>
      <c r="AH981" s="5"/>
      <c r="AI981" s="5"/>
    </row>
    <row r="982" spans="1:35">
      <c r="A982" s="111"/>
      <c r="B982" s="111"/>
      <c r="C982" s="5"/>
      <c r="D982" s="111"/>
      <c r="E982" s="111"/>
      <c r="F982" s="111"/>
      <c r="G982" s="111"/>
      <c r="H982" s="111"/>
      <c r="I982" s="111"/>
      <c r="J982" s="111"/>
      <c r="K982" s="134"/>
      <c r="L982" s="111"/>
      <c r="M982" s="134"/>
      <c r="N982" s="134"/>
      <c r="O982" s="111"/>
      <c r="P982" s="111"/>
      <c r="Q982" s="139"/>
      <c r="R982" s="113"/>
      <c r="S982" s="113"/>
      <c r="T982" s="113"/>
      <c r="U982" s="114"/>
      <c r="V982" s="115"/>
      <c r="W982" s="116"/>
      <c r="X982" s="117"/>
      <c r="Y982" s="111"/>
      <c r="Z982" s="111"/>
      <c r="AH982" s="5"/>
      <c r="AI982" s="5"/>
    </row>
    <row r="983" spans="1:35">
      <c r="A983" s="111"/>
      <c r="B983" s="111"/>
      <c r="C983" s="5"/>
      <c r="D983" s="111"/>
      <c r="E983" s="111"/>
      <c r="F983" s="111"/>
      <c r="G983" s="111"/>
      <c r="H983" s="111"/>
      <c r="I983" s="111"/>
      <c r="J983" s="111"/>
      <c r="K983" s="134"/>
      <c r="L983" s="111"/>
      <c r="M983" s="134"/>
      <c r="N983" s="134"/>
      <c r="O983" s="111"/>
      <c r="P983" s="111"/>
      <c r="Q983" s="139"/>
      <c r="R983" s="113"/>
      <c r="S983" s="113"/>
      <c r="T983" s="113"/>
      <c r="U983" s="114"/>
      <c r="V983" s="115"/>
      <c r="W983" s="116"/>
      <c r="X983" s="117"/>
      <c r="Y983" s="111"/>
      <c r="Z983" s="111"/>
      <c r="AH983" s="5"/>
      <c r="AI983" s="5"/>
    </row>
    <row r="984" spans="1:35">
      <c r="A984" s="111"/>
      <c r="B984" s="111"/>
      <c r="C984" s="5"/>
      <c r="D984" s="111"/>
      <c r="E984" s="111"/>
      <c r="F984" s="111"/>
      <c r="G984" s="111"/>
      <c r="H984" s="111"/>
      <c r="I984" s="111"/>
      <c r="J984" s="111"/>
      <c r="K984" s="134"/>
      <c r="L984" s="111"/>
      <c r="M984" s="134"/>
      <c r="N984" s="134"/>
      <c r="O984" s="111"/>
      <c r="P984" s="111"/>
      <c r="Q984" s="139"/>
      <c r="R984" s="113"/>
      <c r="S984" s="113"/>
      <c r="T984" s="113"/>
      <c r="U984" s="114"/>
      <c r="V984" s="115"/>
      <c r="W984" s="116"/>
      <c r="X984" s="117"/>
      <c r="Y984" s="111"/>
      <c r="Z984" s="111"/>
      <c r="AH984" s="5"/>
      <c r="AI984" s="5"/>
    </row>
    <row r="985" spans="1:35">
      <c r="A985" s="111"/>
      <c r="B985" s="111"/>
      <c r="C985" s="5"/>
      <c r="D985" s="111"/>
      <c r="E985" s="111"/>
      <c r="F985" s="111"/>
      <c r="G985" s="111"/>
      <c r="H985" s="111"/>
      <c r="I985" s="111"/>
      <c r="J985" s="111"/>
      <c r="K985" s="134"/>
      <c r="L985" s="111"/>
      <c r="M985" s="134"/>
      <c r="N985" s="134"/>
      <c r="O985" s="111"/>
      <c r="P985" s="111"/>
      <c r="Q985" s="139"/>
      <c r="R985" s="113"/>
      <c r="S985" s="113"/>
      <c r="T985" s="113"/>
      <c r="U985" s="114"/>
      <c r="V985" s="115"/>
      <c r="W985" s="116"/>
      <c r="X985" s="117"/>
      <c r="Y985" s="111"/>
      <c r="Z985" s="111"/>
      <c r="AH985" s="5"/>
      <c r="AI985" s="5"/>
    </row>
    <row r="986" spans="1:35">
      <c r="A986" s="111"/>
      <c r="B986" s="111"/>
      <c r="C986" s="5"/>
      <c r="D986" s="111"/>
      <c r="E986" s="111"/>
      <c r="F986" s="111"/>
      <c r="G986" s="111"/>
      <c r="H986" s="111"/>
      <c r="I986" s="111"/>
      <c r="J986" s="111"/>
      <c r="K986" s="134"/>
      <c r="L986" s="111"/>
      <c r="M986" s="134"/>
      <c r="N986" s="134"/>
      <c r="O986" s="111"/>
      <c r="P986" s="111"/>
      <c r="Q986" s="139"/>
      <c r="R986" s="113"/>
      <c r="S986" s="113"/>
      <c r="T986" s="113"/>
      <c r="U986" s="114"/>
      <c r="V986" s="115"/>
      <c r="W986" s="116"/>
      <c r="X986" s="117"/>
      <c r="Y986" s="111"/>
      <c r="Z986" s="111"/>
      <c r="AH986" s="5"/>
      <c r="AI986" s="5"/>
    </row>
    <row r="987" spans="1:35">
      <c r="A987" s="111"/>
      <c r="B987" s="111"/>
      <c r="C987" s="5"/>
      <c r="D987" s="111"/>
      <c r="E987" s="111"/>
      <c r="F987" s="111"/>
      <c r="G987" s="111"/>
      <c r="H987" s="111"/>
      <c r="I987" s="111"/>
      <c r="J987" s="111"/>
      <c r="K987" s="134"/>
      <c r="L987" s="111"/>
      <c r="M987" s="134"/>
      <c r="N987" s="134"/>
      <c r="O987" s="111"/>
      <c r="P987" s="111"/>
      <c r="Q987" s="139"/>
      <c r="R987" s="113"/>
      <c r="S987" s="113"/>
      <c r="T987" s="113"/>
      <c r="U987" s="114"/>
      <c r="V987" s="115"/>
      <c r="W987" s="116"/>
      <c r="X987" s="117"/>
      <c r="Y987" s="111"/>
      <c r="Z987" s="111"/>
      <c r="AH987" s="5"/>
      <c r="AI987" s="5"/>
    </row>
    <row r="988" spans="1:35">
      <c r="A988" s="111"/>
      <c r="B988" s="111"/>
      <c r="C988" s="5"/>
      <c r="D988" s="111"/>
      <c r="E988" s="111"/>
      <c r="F988" s="111"/>
      <c r="G988" s="111"/>
      <c r="H988" s="111"/>
      <c r="I988" s="111"/>
      <c r="J988" s="111"/>
      <c r="K988" s="134"/>
      <c r="L988" s="111"/>
      <c r="M988" s="134"/>
      <c r="N988" s="134"/>
      <c r="O988" s="111"/>
      <c r="P988" s="111"/>
      <c r="Q988" s="139"/>
      <c r="R988" s="113"/>
      <c r="S988" s="113"/>
      <c r="T988" s="113"/>
      <c r="U988" s="114"/>
      <c r="V988" s="115"/>
      <c r="W988" s="116"/>
      <c r="X988" s="117"/>
      <c r="Y988" s="111"/>
      <c r="Z988" s="111"/>
      <c r="AH988" s="5"/>
      <c r="AI988" s="5"/>
    </row>
    <row r="989" spans="1:35">
      <c r="A989" s="111"/>
      <c r="B989" s="111"/>
      <c r="C989" s="5"/>
      <c r="D989" s="111"/>
      <c r="E989" s="111"/>
      <c r="F989" s="111"/>
      <c r="G989" s="111"/>
      <c r="H989" s="111"/>
      <c r="I989" s="111"/>
      <c r="J989" s="111"/>
      <c r="K989" s="134"/>
      <c r="L989" s="111"/>
      <c r="M989" s="134"/>
      <c r="N989" s="134"/>
      <c r="O989" s="111"/>
      <c r="P989" s="111"/>
      <c r="Q989" s="139"/>
      <c r="R989" s="113"/>
      <c r="S989" s="113"/>
      <c r="T989" s="113"/>
      <c r="U989" s="114"/>
      <c r="V989" s="115"/>
      <c r="W989" s="116"/>
      <c r="X989" s="117"/>
      <c r="Y989" s="111"/>
      <c r="Z989" s="111"/>
      <c r="AH989" s="5"/>
      <c r="AI989" s="5"/>
    </row>
    <row r="990" spans="1:35">
      <c r="A990" s="111"/>
      <c r="B990" s="111"/>
      <c r="C990" s="5"/>
      <c r="D990" s="111"/>
      <c r="E990" s="111"/>
      <c r="F990" s="111"/>
      <c r="G990" s="111"/>
      <c r="H990" s="111"/>
      <c r="I990" s="111"/>
      <c r="J990" s="111"/>
      <c r="K990" s="134"/>
      <c r="L990" s="111"/>
      <c r="M990" s="134"/>
      <c r="N990" s="134"/>
      <c r="O990" s="111"/>
      <c r="P990" s="111"/>
      <c r="Q990" s="139"/>
      <c r="R990" s="113"/>
      <c r="S990" s="113"/>
      <c r="T990" s="113"/>
      <c r="U990" s="114"/>
      <c r="V990" s="115"/>
      <c r="W990" s="116"/>
      <c r="X990" s="117"/>
      <c r="Y990" s="111"/>
      <c r="Z990" s="111"/>
      <c r="AH990" s="5"/>
      <c r="AI990" s="5"/>
    </row>
    <row r="991" spans="1:35">
      <c r="A991" s="111"/>
      <c r="B991" s="111"/>
      <c r="C991" s="5"/>
      <c r="D991" s="111"/>
      <c r="E991" s="111"/>
      <c r="F991" s="111"/>
      <c r="G991" s="111"/>
      <c r="H991" s="111"/>
      <c r="I991" s="111"/>
      <c r="J991" s="111"/>
      <c r="K991" s="134"/>
      <c r="L991" s="111"/>
      <c r="M991" s="134"/>
      <c r="N991" s="134"/>
      <c r="O991" s="111"/>
      <c r="P991" s="111"/>
      <c r="Q991" s="139"/>
      <c r="R991" s="113"/>
      <c r="S991" s="113"/>
      <c r="T991" s="113"/>
      <c r="U991" s="114"/>
      <c r="V991" s="115"/>
      <c r="W991" s="116"/>
      <c r="X991" s="117"/>
      <c r="Y991" s="111"/>
      <c r="Z991" s="111"/>
      <c r="AH991" s="5"/>
      <c r="AI991" s="5"/>
    </row>
    <row r="992" spans="1:35">
      <c r="A992" s="111"/>
      <c r="B992" s="111"/>
      <c r="C992" s="5"/>
      <c r="D992" s="111"/>
      <c r="E992" s="111"/>
      <c r="F992" s="111"/>
      <c r="G992" s="111"/>
      <c r="H992" s="111"/>
      <c r="I992" s="111"/>
      <c r="J992" s="111"/>
      <c r="K992" s="134"/>
      <c r="L992" s="111"/>
      <c r="M992" s="134"/>
      <c r="N992" s="134"/>
      <c r="O992" s="111"/>
      <c r="P992" s="111"/>
      <c r="Q992" s="139"/>
      <c r="R992" s="113"/>
      <c r="S992" s="113"/>
      <c r="T992" s="113"/>
      <c r="U992" s="114"/>
      <c r="V992" s="115"/>
      <c r="W992" s="116"/>
      <c r="X992" s="117"/>
      <c r="Y992" s="111"/>
      <c r="Z992" s="111"/>
      <c r="AH992" s="5"/>
      <c r="AI992" s="5"/>
    </row>
    <row r="993" spans="1:35">
      <c r="A993" s="111"/>
      <c r="B993" s="111"/>
      <c r="C993" s="5"/>
      <c r="D993" s="111"/>
      <c r="E993" s="111"/>
      <c r="F993" s="111"/>
      <c r="G993" s="111"/>
      <c r="H993" s="111"/>
      <c r="I993" s="111"/>
      <c r="J993" s="111"/>
      <c r="K993" s="134"/>
      <c r="L993" s="111"/>
      <c r="M993" s="134"/>
      <c r="N993" s="134"/>
      <c r="O993" s="111"/>
      <c r="P993" s="111"/>
      <c r="Q993" s="139"/>
      <c r="R993" s="113"/>
      <c r="S993" s="113"/>
      <c r="T993" s="113"/>
      <c r="U993" s="114"/>
      <c r="V993" s="115"/>
      <c r="W993" s="116"/>
      <c r="X993" s="117"/>
      <c r="Y993" s="111"/>
      <c r="Z993" s="111"/>
      <c r="AH993" s="5"/>
      <c r="AI993" s="5"/>
    </row>
    <row r="994" spans="1:35">
      <c r="A994" s="111"/>
      <c r="B994" s="111"/>
      <c r="C994" s="5"/>
      <c r="D994" s="111"/>
      <c r="E994" s="111"/>
      <c r="F994" s="111"/>
      <c r="G994" s="111"/>
      <c r="H994" s="111"/>
      <c r="I994" s="111"/>
      <c r="J994" s="111"/>
      <c r="K994" s="134"/>
      <c r="L994" s="111"/>
      <c r="M994" s="134"/>
      <c r="N994" s="134"/>
      <c r="O994" s="111"/>
      <c r="P994" s="111"/>
      <c r="Q994" s="139"/>
      <c r="R994" s="113"/>
      <c r="S994" s="113"/>
      <c r="T994" s="113"/>
      <c r="U994" s="114"/>
      <c r="V994" s="115"/>
      <c r="W994" s="116"/>
      <c r="X994" s="117"/>
      <c r="Y994" s="111"/>
      <c r="Z994" s="111"/>
      <c r="AH994" s="5"/>
      <c r="AI994" s="5"/>
    </row>
    <row r="995" spans="1:35">
      <c r="A995" s="111"/>
      <c r="B995" s="111"/>
      <c r="C995" s="5"/>
      <c r="D995" s="111"/>
      <c r="E995" s="111"/>
      <c r="F995" s="111"/>
      <c r="G995" s="111"/>
      <c r="H995" s="111"/>
      <c r="I995" s="111"/>
      <c r="J995" s="111"/>
      <c r="K995" s="134"/>
      <c r="L995" s="111"/>
      <c r="M995" s="134"/>
      <c r="N995" s="134"/>
      <c r="O995" s="111"/>
      <c r="P995" s="111"/>
      <c r="Q995" s="139"/>
      <c r="R995" s="113"/>
      <c r="S995" s="113"/>
      <c r="T995" s="113"/>
      <c r="U995" s="114"/>
      <c r="V995" s="115"/>
      <c r="W995" s="116"/>
      <c r="X995" s="117"/>
      <c r="Y995" s="111"/>
      <c r="Z995" s="111"/>
      <c r="AH995" s="5"/>
      <c r="AI995" s="5"/>
    </row>
    <row r="996" spans="1:35">
      <c r="A996" s="111"/>
      <c r="B996" s="111"/>
      <c r="C996" s="5"/>
      <c r="D996" s="111"/>
      <c r="E996" s="111"/>
      <c r="F996" s="111"/>
      <c r="G996" s="111"/>
      <c r="H996" s="111"/>
      <c r="I996" s="111"/>
      <c r="J996" s="111"/>
      <c r="K996" s="134"/>
      <c r="L996" s="111"/>
      <c r="M996" s="134"/>
      <c r="N996" s="134"/>
      <c r="O996" s="111"/>
      <c r="P996" s="111"/>
      <c r="Q996" s="139"/>
      <c r="R996" s="113"/>
      <c r="S996" s="113"/>
      <c r="T996" s="113"/>
      <c r="U996" s="114"/>
      <c r="V996" s="115"/>
      <c r="W996" s="116"/>
      <c r="X996" s="117"/>
      <c r="Y996" s="111"/>
      <c r="Z996" s="111"/>
      <c r="AH996" s="5"/>
      <c r="AI996" s="5"/>
    </row>
    <row r="997" spans="1:35">
      <c r="A997" s="111"/>
      <c r="B997" s="111"/>
      <c r="C997" s="5"/>
      <c r="D997" s="111"/>
      <c r="E997" s="111"/>
      <c r="F997" s="111"/>
      <c r="G997" s="111"/>
      <c r="H997" s="111"/>
      <c r="I997" s="111"/>
      <c r="J997" s="111"/>
      <c r="K997" s="134"/>
      <c r="L997" s="111"/>
      <c r="M997" s="134"/>
      <c r="N997" s="134"/>
      <c r="O997" s="111"/>
      <c r="P997" s="111"/>
      <c r="Q997" s="139"/>
      <c r="R997" s="113"/>
      <c r="S997" s="113"/>
      <c r="T997" s="113"/>
      <c r="U997" s="114"/>
      <c r="V997" s="115"/>
      <c r="W997" s="116"/>
      <c r="X997" s="117"/>
      <c r="Y997" s="111"/>
      <c r="Z997" s="111"/>
      <c r="AH997" s="5"/>
      <c r="AI997" s="5"/>
    </row>
    <row r="998" spans="1:35">
      <c r="A998" s="111"/>
      <c r="B998" s="111"/>
      <c r="C998" s="5"/>
      <c r="D998" s="111"/>
      <c r="E998" s="111"/>
      <c r="F998" s="111"/>
      <c r="G998" s="111"/>
      <c r="H998" s="111"/>
      <c r="I998" s="111"/>
      <c r="J998" s="111"/>
      <c r="K998" s="134"/>
      <c r="L998" s="111"/>
      <c r="M998" s="134"/>
      <c r="N998" s="134"/>
      <c r="O998" s="111"/>
      <c r="P998" s="111"/>
      <c r="Q998" s="139"/>
      <c r="R998" s="113"/>
      <c r="S998" s="113"/>
      <c r="T998" s="113"/>
      <c r="U998" s="114"/>
      <c r="V998" s="115"/>
      <c r="W998" s="116"/>
      <c r="X998" s="117"/>
      <c r="Y998" s="111"/>
      <c r="Z998" s="111"/>
      <c r="AH998" s="5"/>
      <c r="AI998" s="5"/>
    </row>
    <row r="999" spans="1:35">
      <c r="A999" s="111"/>
      <c r="B999" s="111"/>
      <c r="C999" s="5"/>
      <c r="D999" s="111"/>
      <c r="E999" s="111"/>
      <c r="F999" s="111"/>
      <c r="G999" s="111"/>
      <c r="H999" s="111"/>
      <c r="I999" s="111"/>
      <c r="J999" s="111"/>
      <c r="K999" s="134"/>
      <c r="L999" s="111"/>
      <c r="M999" s="134"/>
      <c r="N999" s="134"/>
      <c r="O999" s="111"/>
      <c r="P999" s="111"/>
      <c r="Q999" s="139"/>
      <c r="R999" s="113"/>
      <c r="S999" s="113"/>
      <c r="T999" s="113"/>
      <c r="U999" s="114"/>
      <c r="V999" s="115"/>
      <c r="W999" s="116"/>
      <c r="X999" s="117"/>
      <c r="Y999" s="111"/>
      <c r="Z999" s="111"/>
      <c r="AH999" s="5"/>
      <c r="AI999" s="5"/>
    </row>
    <row r="1000" spans="1:35">
      <c r="A1000" s="111"/>
      <c r="B1000" s="111"/>
      <c r="C1000" s="5"/>
      <c r="D1000" s="111"/>
      <c r="E1000" s="111"/>
      <c r="F1000" s="111"/>
      <c r="G1000" s="111"/>
      <c r="H1000" s="111"/>
      <c r="I1000" s="111"/>
      <c r="J1000" s="111"/>
      <c r="K1000" s="134"/>
      <c r="L1000" s="111"/>
      <c r="M1000" s="134"/>
      <c r="N1000" s="134"/>
      <c r="O1000" s="111"/>
      <c r="P1000" s="111"/>
      <c r="Q1000" s="139"/>
      <c r="R1000" s="113"/>
      <c r="S1000" s="113"/>
      <c r="T1000" s="113"/>
      <c r="U1000" s="114"/>
      <c r="V1000" s="115"/>
      <c r="W1000" s="116"/>
      <c r="X1000" s="117"/>
      <c r="Y1000" s="111"/>
      <c r="Z1000" s="111"/>
      <c r="AH1000" s="5"/>
      <c r="AI1000" s="5"/>
    </row>
    <row r="1001" spans="1:35">
      <c r="A1001" s="111"/>
      <c r="B1001" s="111"/>
      <c r="C1001" s="5"/>
      <c r="D1001" s="111"/>
      <c r="E1001" s="111"/>
      <c r="F1001" s="111"/>
      <c r="G1001" s="111"/>
      <c r="H1001" s="111"/>
      <c r="I1001" s="111"/>
      <c r="J1001" s="111"/>
      <c r="K1001" s="134"/>
      <c r="L1001" s="111"/>
      <c r="M1001" s="134"/>
      <c r="N1001" s="134"/>
      <c r="O1001" s="111"/>
      <c r="P1001" s="111"/>
      <c r="Q1001" s="139"/>
      <c r="R1001" s="113"/>
      <c r="S1001" s="113"/>
      <c r="T1001" s="113"/>
      <c r="U1001" s="114"/>
      <c r="V1001" s="115"/>
      <c r="W1001" s="116"/>
      <c r="X1001" s="117"/>
      <c r="Y1001" s="111"/>
      <c r="Z1001" s="111"/>
      <c r="AH1001" s="5"/>
      <c r="AI1001" s="5"/>
    </row>
    <row r="1002" spans="1:35">
      <c r="A1002" s="111"/>
      <c r="B1002" s="111"/>
      <c r="C1002" s="5"/>
      <c r="D1002" s="111"/>
      <c r="E1002" s="111"/>
      <c r="F1002" s="111"/>
      <c r="G1002" s="111"/>
      <c r="H1002" s="111"/>
      <c r="I1002" s="111"/>
      <c r="J1002" s="111"/>
      <c r="K1002" s="134"/>
      <c r="L1002" s="111"/>
      <c r="M1002" s="134"/>
      <c r="N1002" s="134"/>
      <c r="O1002" s="111"/>
      <c r="P1002" s="111"/>
      <c r="Q1002" s="139"/>
      <c r="R1002" s="113"/>
      <c r="S1002" s="113"/>
      <c r="T1002" s="113"/>
      <c r="U1002" s="114"/>
      <c r="V1002" s="115"/>
      <c r="W1002" s="116"/>
      <c r="X1002" s="117"/>
      <c r="Y1002" s="111"/>
      <c r="Z1002" s="111"/>
      <c r="AH1002" s="5"/>
      <c r="AI1002" s="5"/>
    </row>
    <row r="1003" spans="1:35">
      <c r="A1003" s="111"/>
      <c r="B1003" s="111"/>
      <c r="C1003" s="5"/>
      <c r="D1003" s="111"/>
      <c r="E1003" s="111"/>
      <c r="F1003" s="111"/>
      <c r="G1003" s="111"/>
      <c r="H1003" s="111"/>
      <c r="I1003" s="111"/>
      <c r="J1003" s="111"/>
      <c r="K1003" s="134"/>
      <c r="L1003" s="111"/>
      <c r="M1003" s="134"/>
      <c r="N1003" s="134"/>
      <c r="O1003" s="111"/>
      <c r="P1003" s="111"/>
      <c r="Q1003" s="139"/>
      <c r="R1003" s="113"/>
      <c r="S1003" s="113"/>
      <c r="T1003" s="113"/>
      <c r="U1003" s="114"/>
      <c r="V1003" s="115"/>
      <c r="W1003" s="116"/>
      <c r="X1003" s="117"/>
      <c r="Y1003" s="111"/>
      <c r="Z1003" s="111"/>
      <c r="AH1003" s="5"/>
      <c r="AI1003" s="5"/>
    </row>
    <row r="1004" spans="1:35">
      <c r="A1004" s="111"/>
      <c r="B1004" s="111"/>
      <c r="C1004" s="5"/>
      <c r="D1004" s="111"/>
      <c r="E1004" s="111"/>
      <c r="F1004" s="111"/>
      <c r="G1004" s="111"/>
      <c r="H1004" s="111"/>
      <c r="I1004" s="111"/>
      <c r="J1004" s="111"/>
      <c r="K1004" s="134"/>
      <c r="L1004" s="111"/>
      <c r="M1004" s="134"/>
      <c r="N1004" s="134"/>
      <c r="O1004" s="111"/>
      <c r="P1004" s="111"/>
      <c r="Q1004" s="139"/>
      <c r="R1004" s="113"/>
      <c r="S1004" s="113"/>
      <c r="T1004" s="113"/>
      <c r="U1004" s="114"/>
      <c r="V1004" s="115"/>
      <c r="W1004" s="116"/>
      <c r="X1004" s="117"/>
      <c r="Y1004" s="111"/>
      <c r="Z1004" s="111"/>
      <c r="AH1004" s="5"/>
      <c r="AI1004" s="5"/>
    </row>
    <row r="1005" spans="1:35">
      <c r="A1005" s="111"/>
      <c r="B1005" s="111"/>
      <c r="C1005" s="5"/>
      <c r="D1005" s="111"/>
      <c r="E1005" s="111"/>
      <c r="F1005" s="111"/>
      <c r="G1005" s="111"/>
      <c r="H1005" s="111"/>
      <c r="I1005" s="111"/>
      <c r="J1005" s="111"/>
      <c r="K1005" s="134"/>
      <c r="L1005" s="111"/>
      <c r="M1005" s="134"/>
      <c r="N1005" s="134"/>
      <c r="O1005" s="111"/>
      <c r="P1005" s="111"/>
      <c r="Q1005" s="139"/>
      <c r="R1005" s="113"/>
      <c r="S1005" s="113"/>
      <c r="T1005" s="113"/>
      <c r="U1005" s="114"/>
      <c r="V1005" s="115"/>
      <c r="W1005" s="116"/>
      <c r="X1005" s="117"/>
      <c r="Y1005" s="111"/>
      <c r="Z1005" s="111"/>
      <c r="AH1005" s="5"/>
      <c r="AI1005" s="5"/>
    </row>
    <row r="1006" spans="1:35">
      <c r="A1006" s="111"/>
      <c r="B1006" s="111"/>
      <c r="C1006" s="5"/>
      <c r="D1006" s="111"/>
      <c r="E1006" s="111"/>
      <c r="F1006" s="111"/>
      <c r="G1006" s="111"/>
      <c r="H1006" s="111"/>
      <c r="I1006" s="111"/>
      <c r="J1006" s="111"/>
      <c r="K1006" s="134"/>
      <c r="L1006" s="111"/>
      <c r="M1006" s="134"/>
      <c r="N1006" s="134"/>
      <c r="O1006" s="111"/>
      <c r="P1006" s="111"/>
      <c r="Q1006" s="139"/>
      <c r="R1006" s="113"/>
      <c r="S1006" s="113"/>
      <c r="T1006" s="113"/>
      <c r="U1006" s="114"/>
      <c r="V1006" s="115"/>
      <c r="W1006" s="116"/>
      <c r="X1006" s="117"/>
      <c r="Y1006" s="111"/>
      <c r="Z1006" s="111"/>
      <c r="AH1006" s="5"/>
      <c r="AI1006" s="5"/>
    </row>
    <row r="1007" spans="1:35">
      <c r="A1007" s="111"/>
      <c r="B1007" s="111"/>
      <c r="C1007" s="5"/>
      <c r="D1007" s="111"/>
      <c r="E1007" s="111"/>
      <c r="F1007" s="111"/>
      <c r="G1007" s="111"/>
      <c r="H1007" s="111"/>
      <c r="I1007" s="111"/>
      <c r="J1007" s="111"/>
      <c r="K1007" s="134"/>
      <c r="L1007" s="111"/>
      <c r="M1007" s="134"/>
      <c r="N1007" s="134"/>
      <c r="O1007" s="111"/>
      <c r="P1007" s="111"/>
      <c r="Q1007" s="139"/>
      <c r="R1007" s="113"/>
      <c r="S1007" s="113"/>
      <c r="T1007" s="113"/>
      <c r="U1007" s="114"/>
      <c r="V1007" s="115"/>
      <c r="W1007" s="116"/>
      <c r="X1007" s="117"/>
      <c r="Y1007" s="111"/>
      <c r="Z1007" s="111"/>
      <c r="AH1007" s="5"/>
      <c r="AI1007" s="5"/>
    </row>
    <row r="1008" spans="1:35">
      <c r="A1008" s="111"/>
      <c r="B1008" s="111"/>
      <c r="C1008" s="5"/>
      <c r="D1008" s="111"/>
      <c r="E1008" s="111"/>
      <c r="F1008" s="111"/>
      <c r="G1008" s="111"/>
      <c r="H1008" s="111"/>
      <c r="I1008" s="111"/>
      <c r="J1008" s="111"/>
      <c r="K1008" s="134"/>
      <c r="L1008" s="111"/>
      <c r="M1008" s="134"/>
      <c r="N1008" s="134"/>
      <c r="O1008" s="111"/>
      <c r="P1008" s="111"/>
      <c r="Q1008" s="139"/>
      <c r="R1008" s="113"/>
      <c r="S1008" s="113"/>
      <c r="T1008" s="113"/>
      <c r="U1008" s="114"/>
      <c r="V1008" s="115"/>
      <c r="W1008" s="116"/>
      <c r="X1008" s="117"/>
      <c r="Y1008" s="111"/>
      <c r="Z1008" s="111"/>
      <c r="AH1008" s="5"/>
      <c r="AI1008" s="5"/>
    </row>
    <row r="1009" spans="1:35">
      <c r="A1009" s="111"/>
      <c r="B1009" s="111"/>
      <c r="C1009" s="5"/>
      <c r="D1009" s="111"/>
      <c r="E1009" s="111"/>
      <c r="F1009" s="111"/>
      <c r="G1009" s="111"/>
      <c r="H1009" s="111"/>
      <c r="I1009" s="111"/>
      <c r="J1009" s="111"/>
      <c r="K1009" s="134"/>
      <c r="L1009" s="111"/>
      <c r="M1009" s="134"/>
      <c r="N1009" s="134"/>
      <c r="O1009" s="111"/>
      <c r="P1009" s="111"/>
      <c r="Q1009" s="139"/>
      <c r="R1009" s="113"/>
      <c r="S1009" s="113"/>
      <c r="T1009" s="113"/>
      <c r="U1009" s="114"/>
      <c r="V1009" s="115"/>
      <c r="W1009" s="116"/>
      <c r="X1009" s="117"/>
      <c r="Y1009" s="111"/>
      <c r="Z1009" s="111"/>
      <c r="AH1009" s="5"/>
      <c r="AI1009" s="5"/>
    </row>
    <row r="1010" spans="1:35">
      <c r="A1010" s="111"/>
      <c r="B1010" s="111"/>
      <c r="C1010" s="5"/>
      <c r="D1010" s="111"/>
      <c r="E1010" s="111"/>
      <c r="F1010" s="111"/>
      <c r="G1010" s="111"/>
      <c r="H1010" s="111"/>
      <c r="I1010" s="111"/>
      <c r="J1010" s="111"/>
      <c r="K1010" s="134"/>
      <c r="L1010" s="111"/>
      <c r="M1010" s="134"/>
      <c r="N1010" s="134"/>
      <c r="O1010" s="111"/>
      <c r="P1010" s="111"/>
      <c r="Q1010" s="139"/>
      <c r="R1010" s="113"/>
      <c r="S1010" s="113"/>
      <c r="T1010" s="113"/>
      <c r="U1010" s="114"/>
      <c r="V1010" s="115"/>
      <c r="W1010" s="116"/>
      <c r="X1010" s="117"/>
      <c r="Y1010" s="111"/>
      <c r="Z1010" s="111"/>
      <c r="AH1010" s="5"/>
      <c r="AI1010" s="5"/>
    </row>
    <row r="1011" spans="1:35">
      <c r="A1011" s="111"/>
      <c r="B1011" s="111"/>
      <c r="C1011" s="5"/>
      <c r="D1011" s="111"/>
      <c r="E1011" s="111"/>
      <c r="F1011" s="111"/>
      <c r="G1011" s="111"/>
      <c r="H1011" s="111"/>
      <c r="I1011" s="111"/>
      <c r="J1011" s="111"/>
      <c r="K1011" s="134"/>
      <c r="L1011" s="111"/>
      <c r="M1011" s="134"/>
      <c r="N1011" s="134"/>
      <c r="O1011" s="111"/>
      <c r="P1011" s="111"/>
      <c r="Q1011" s="139"/>
      <c r="R1011" s="113"/>
      <c r="S1011" s="113"/>
      <c r="T1011" s="113"/>
      <c r="U1011" s="114"/>
      <c r="V1011" s="115"/>
      <c r="W1011" s="116"/>
      <c r="X1011" s="117"/>
      <c r="Y1011" s="111"/>
      <c r="Z1011" s="111"/>
    </row>
    <row r="1012" spans="1:35">
      <c r="A1012" s="111"/>
      <c r="B1012" s="111"/>
      <c r="C1012" s="111"/>
      <c r="D1012" s="111"/>
      <c r="E1012" s="111"/>
      <c r="F1012" s="111"/>
      <c r="G1012" s="111"/>
      <c r="H1012" s="111"/>
      <c r="I1012" s="111"/>
      <c r="J1012" s="111"/>
      <c r="K1012" s="111"/>
      <c r="L1012" s="111"/>
      <c r="M1012" s="111"/>
      <c r="N1012" s="111"/>
      <c r="O1012" s="111"/>
      <c r="P1012" s="111"/>
      <c r="Q1012" s="139"/>
      <c r="R1012" s="113"/>
      <c r="S1012" s="113"/>
      <c r="T1012" s="113"/>
      <c r="U1012" s="114"/>
      <c r="V1012" s="115"/>
      <c r="W1012" s="116"/>
      <c r="X1012" s="117"/>
      <c r="Y1012" s="111"/>
      <c r="Z1012" s="111"/>
    </row>
    <row r="1013" spans="1:35">
      <c r="A1013" s="111"/>
      <c r="B1013" s="111"/>
      <c r="C1013" s="111"/>
      <c r="D1013" s="111"/>
      <c r="E1013" s="111"/>
      <c r="F1013" s="111"/>
      <c r="G1013" s="111"/>
      <c r="H1013" s="111"/>
      <c r="I1013" s="111"/>
      <c r="J1013" s="111"/>
      <c r="K1013" s="111"/>
      <c r="L1013" s="111"/>
      <c r="M1013" s="111"/>
      <c r="N1013" s="111"/>
      <c r="O1013" s="111"/>
      <c r="P1013" s="111"/>
      <c r="Q1013" s="139"/>
      <c r="R1013" s="113"/>
      <c r="S1013" s="113"/>
      <c r="T1013" s="113"/>
      <c r="U1013" s="114"/>
      <c r="V1013" s="115"/>
      <c r="W1013" s="116"/>
      <c r="X1013" s="117"/>
      <c r="Y1013" s="111"/>
      <c r="Z1013" s="111"/>
    </row>
    <row r="1014" spans="1:35">
      <c r="A1014" s="111"/>
      <c r="B1014" s="111"/>
      <c r="C1014" s="111"/>
      <c r="D1014" s="111"/>
      <c r="E1014" s="111"/>
      <c r="F1014" s="111"/>
      <c r="G1014" s="111"/>
      <c r="H1014" s="111"/>
      <c r="I1014" s="111"/>
      <c r="J1014" s="111"/>
      <c r="K1014" s="111"/>
      <c r="L1014" s="111"/>
      <c r="M1014" s="111"/>
      <c r="N1014" s="111"/>
      <c r="O1014" s="111"/>
      <c r="P1014" s="111"/>
      <c r="Q1014" s="139"/>
      <c r="R1014" s="113"/>
      <c r="S1014" s="113"/>
      <c r="T1014" s="113"/>
      <c r="U1014" s="114"/>
      <c r="V1014" s="115"/>
      <c r="W1014" s="116"/>
      <c r="X1014" s="117"/>
      <c r="Y1014" s="111"/>
      <c r="Z1014" s="111"/>
    </row>
    <row r="1015" spans="1:35">
      <c r="A1015" s="111"/>
      <c r="B1015" s="111"/>
      <c r="C1015" s="111"/>
      <c r="D1015" s="111"/>
      <c r="E1015" s="111"/>
      <c r="F1015" s="111"/>
      <c r="G1015" s="111"/>
      <c r="H1015" s="111"/>
      <c r="I1015" s="111"/>
      <c r="J1015" s="111"/>
      <c r="K1015" s="111"/>
      <c r="L1015" s="111"/>
      <c r="M1015" s="111"/>
      <c r="N1015" s="111"/>
      <c r="O1015" s="111"/>
      <c r="P1015" s="111"/>
      <c r="Q1015" s="139"/>
      <c r="R1015" s="113"/>
      <c r="S1015" s="113"/>
      <c r="T1015" s="113"/>
      <c r="U1015" s="114"/>
      <c r="V1015" s="115"/>
      <c r="W1015" s="116"/>
      <c r="X1015" s="117"/>
      <c r="Y1015" s="111"/>
      <c r="Z1015" s="111"/>
    </row>
    <row r="1016" spans="1:35">
      <c r="A1016" s="111"/>
      <c r="B1016" s="111"/>
      <c r="C1016" s="111"/>
      <c r="D1016" s="111"/>
      <c r="E1016" s="111"/>
      <c r="F1016" s="111"/>
      <c r="G1016" s="111"/>
      <c r="H1016" s="111"/>
      <c r="I1016" s="111"/>
      <c r="J1016" s="111"/>
      <c r="K1016" s="111"/>
      <c r="L1016" s="111"/>
      <c r="M1016" s="111"/>
      <c r="N1016" s="111"/>
      <c r="O1016" s="111"/>
      <c r="P1016" s="111"/>
      <c r="Q1016" s="139"/>
      <c r="R1016" s="113"/>
      <c r="S1016" s="113"/>
      <c r="T1016" s="113"/>
      <c r="U1016" s="114"/>
      <c r="V1016" s="115"/>
      <c r="W1016" s="116"/>
      <c r="X1016" s="117"/>
      <c r="Y1016" s="111"/>
      <c r="Z1016" s="111"/>
    </row>
    <row r="1017" spans="1:35">
      <c r="A1017" s="111"/>
      <c r="B1017" s="111"/>
      <c r="C1017" s="111"/>
      <c r="D1017" s="111"/>
      <c r="E1017" s="111"/>
      <c r="F1017" s="111"/>
      <c r="G1017" s="111"/>
      <c r="H1017" s="111"/>
      <c r="I1017" s="111"/>
      <c r="J1017" s="111"/>
      <c r="K1017" s="111"/>
      <c r="L1017" s="111"/>
      <c r="M1017" s="111"/>
      <c r="N1017" s="111"/>
      <c r="O1017" s="111"/>
      <c r="P1017" s="111"/>
      <c r="Q1017" s="139"/>
      <c r="R1017" s="113"/>
      <c r="S1017" s="113"/>
      <c r="T1017" s="113"/>
      <c r="U1017" s="114"/>
      <c r="V1017" s="115"/>
      <c r="W1017" s="116"/>
      <c r="X1017" s="117"/>
      <c r="Y1017" s="111"/>
      <c r="Z1017" s="111"/>
    </row>
    <row r="1018" spans="1:35">
      <c r="A1018" s="111"/>
      <c r="B1018" s="111"/>
      <c r="C1018" s="111"/>
      <c r="D1018" s="111"/>
      <c r="E1018" s="111"/>
      <c r="F1018" s="111"/>
      <c r="G1018" s="111"/>
      <c r="H1018" s="111"/>
      <c r="I1018" s="111"/>
      <c r="J1018" s="111"/>
      <c r="K1018" s="111"/>
      <c r="L1018" s="111"/>
      <c r="M1018" s="111"/>
      <c r="N1018" s="111"/>
      <c r="O1018" s="111"/>
      <c r="P1018" s="111"/>
      <c r="Q1018" s="139"/>
      <c r="R1018" s="113"/>
      <c r="S1018" s="113"/>
      <c r="T1018" s="113"/>
      <c r="U1018" s="114"/>
      <c r="V1018" s="115"/>
      <c r="W1018" s="116"/>
      <c r="X1018" s="117"/>
      <c r="Y1018" s="111"/>
      <c r="Z1018" s="111"/>
    </row>
    <row r="1019" spans="1:35">
      <c r="A1019" s="111"/>
      <c r="B1019" s="111"/>
      <c r="C1019" s="111"/>
      <c r="D1019" s="111"/>
      <c r="E1019" s="111"/>
      <c r="F1019" s="111"/>
      <c r="G1019" s="111"/>
      <c r="H1019" s="111"/>
      <c r="I1019" s="111"/>
      <c r="J1019" s="111"/>
      <c r="K1019" s="111"/>
      <c r="L1019" s="111"/>
      <c r="M1019" s="111"/>
      <c r="N1019" s="111"/>
      <c r="O1019" s="111"/>
      <c r="P1019" s="111"/>
      <c r="Q1019" s="139"/>
      <c r="R1019" s="113"/>
      <c r="S1019" s="113"/>
      <c r="T1019" s="113"/>
      <c r="U1019" s="114"/>
      <c r="V1019" s="115"/>
      <c r="W1019" s="116"/>
      <c r="X1019" s="117"/>
      <c r="Y1019" s="111"/>
      <c r="Z1019" s="111"/>
    </row>
    <row r="1020" spans="1:35">
      <c r="A1020" s="111"/>
      <c r="B1020" s="111"/>
      <c r="C1020" s="111"/>
      <c r="D1020" s="111"/>
      <c r="E1020" s="111"/>
      <c r="F1020" s="111"/>
      <c r="G1020" s="111"/>
      <c r="H1020" s="111"/>
      <c r="I1020" s="111"/>
      <c r="J1020" s="111"/>
      <c r="K1020" s="111"/>
      <c r="L1020" s="111"/>
      <c r="M1020" s="111"/>
      <c r="N1020" s="111"/>
      <c r="O1020" s="111"/>
      <c r="P1020" s="111"/>
      <c r="Q1020" s="139"/>
      <c r="R1020" s="113"/>
      <c r="S1020" s="113"/>
      <c r="T1020" s="113"/>
      <c r="U1020" s="114"/>
      <c r="V1020" s="115"/>
      <c r="W1020" s="116"/>
      <c r="X1020" s="117"/>
      <c r="Y1020" s="111"/>
      <c r="Z1020" s="111"/>
    </row>
    <row r="1021" spans="1:35">
      <c r="A1021" s="111"/>
      <c r="B1021" s="111"/>
      <c r="C1021" s="111"/>
      <c r="D1021" s="111"/>
      <c r="E1021" s="111"/>
      <c r="F1021" s="111"/>
      <c r="G1021" s="111"/>
      <c r="H1021" s="111"/>
      <c r="I1021" s="111"/>
      <c r="J1021" s="111"/>
      <c r="K1021" s="111"/>
      <c r="L1021" s="111"/>
      <c r="M1021" s="111"/>
      <c r="N1021" s="111"/>
      <c r="O1021" s="111"/>
      <c r="P1021" s="111"/>
      <c r="Q1021" s="139"/>
      <c r="R1021" s="113"/>
      <c r="S1021" s="113"/>
      <c r="T1021" s="113"/>
      <c r="U1021" s="114"/>
      <c r="V1021" s="115"/>
      <c r="W1021" s="116"/>
      <c r="X1021" s="117"/>
      <c r="Y1021" s="111"/>
      <c r="Z1021" s="111"/>
    </row>
    <row r="1022" spans="1:35">
      <c r="A1022" s="111"/>
      <c r="B1022" s="111"/>
      <c r="C1022" s="111"/>
      <c r="D1022" s="111"/>
      <c r="E1022" s="111"/>
      <c r="F1022" s="111"/>
      <c r="G1022" s="111"/>
      <c r="H1022" s="111"/>
      <c r="I1022" s="111"/>
      <c r="J1022" s="111"/>
      <c r="K1022" s="111"/>
      <c r="L1022" s="111"/>
      <c r="M1022" s="111"/>
      <c r="N1022" s="111"/>
      <c r="O1022" s="111"/>
      <c r="P1022" s="111"/>
      <c r="Q1022" s="139"/>
      <c r="R1022" s="113"/>
      <c r="S1022" s="113"/>
      <c r="T1022" s="113"/>
      <c r="U1022" s="114"/>
      <c r="V1022" s="115"/>
      <c r="W1022" s="116"/>
      <c r="X1022" s="117"/>
      <c r="Y1022" s="111"/>
      <c r="Z1022" s="111"/>
    </row>
    <row r="1023" spans="1:35">
      <c r="A1023" s="111"/>
      <c r="B1023" s="111"/>
      <c r="C1023" s="111"/>
      <c r="D1023" s="111"/>
      <c r="E1023" s="111"/>
      <c r="F1023" s="111"/>
      <c r="G1023" s="111"/>
      <c r="H1023" s="111"/>
      <c r="I1023" s="111"/>
      <c r="J1023" s="111"/>
      <c r="K1023" s="111"/>
      <c r="L1023" s="111"/>
      <c r="M1023" s="111"/>
      <c r="N1023" s="111"/>
      <c r="O1023" s="111"/>
      <c r="P1023" s="111"/>
      <c r="Q1023" s="139"/>
      <c r="R1023" s="113"/>
      <c r="S1023" s="113"/>
      <c r="T1023" s="113"/>
      <c r="U1023" s="114"/>
      <c r="V1023" s="115"/>
      <c r="W1023" s="116"/>
      <c r="X1023" s="117"/>
      <c r="Y1023" s="111"/>
      <c r="Z1023" s="111"/>
    </row>
    <row r="1024" spans="1:35">
      <c r="A1024" s="111"/>
      <c r="B1024" s="111"/>
      <c r="C1024" s="111"/>
      <c r="D1024" s="111"/>
      <c r="E1024" s="111"/>
      <c r="F1024" s="111"/>
      <c r="G1024" s="111"/>
      <c r="H1024" s="111"/>
      <c r="I1024" s="111"/>
      <c r="J1024" s="111"/>
      <c r="K1024" s="111"/>
      <c r="L1024" s="111"/>
      <c r="M1024" s="111"/>
      <c r="N1024" s="111"/>
      <c r="O1024" s="111"/>
      <c r="P1024" s="111"/>
      <c r="Q1024" s="139"/>
      <c r="R1024" s="113"/>
      <c r="S1024" s="113"/>
      <c r="T1024" s="113"/>
      <c r="U1024" s="114"/>
      <c r="V1024" s="115"/>
      <c r="W1024" s="116"/>
      <c r="X1024" s="117"/>
      <c r="Y1024" s="111"/>
      <c r="Z1024" s="111"/>
    </row>
    <row r="1025" spans="1:26">
      <c r="A1025" s="111"/>
      <c r="B1025" s="111"/>
      <c r="C1025" s="111"/>
      <c r="D1025" s="111"/>
      <c r="E1025" s="111"/>
      <c r="F1025" s="111"/>
      <c r="G1025" s="111"/>
      <c r="H1025" s="111"/>
      <c r="I1025" s="111"/>
      <c r="J1025" s="111"/>
      <c r="K1025" s="111"/>
      <c r="L1025" s="111"/>
      <c r="M1025" s="111"/>
      <c r="N1025" s="111"/>
      <c r="O1025" s="111"/>
      <c r="P1025" s="111"/>
      <c r="Q1025" s="139"/>
      <c r="R1025" s="113"/>
      <c r="S1025" s="113"/>
      <c r="T1025" s="113"/>
      <c r="U1025" s="114"/>
      <c r="V1025" s="115"/>
      <c r="W1025" s="116"/>
      <c r="X1025" s="117"/>
      <c r="Y1025" s="111"/>
      <c r="Z1025" s="111"/>
    </row>
    <row r="1026" spans="1:26">
      <c r="A1026" s="111"/>
      <c r="B1026" s="111"/>
      <c r="C1026" s="111"/>
      <c r="D1026" s="111"/>
      <c r="E1026" s="111"/>
      <c r="F1026" s="111"/>
      <c r="G1026" s="111"/>
      <c r="H1026" s="111"/>
      <c r="I1026" s="111"/>
      <c r="J1026" s="111"/>
      <c r="K1026" s="111"/>
      <c r="L1026" s="111"/>
      <c r="M1026" s="111"/>
      <c r="N1026" s="111"/>
      <c r="O1026" s="111"/>
      <c r="P1026" s="111"/>
      <c r="Q1026" s="139"/>
      <c r="R1026" s="113"/>
      <c r="S1026" s="113"/>
      <c r="T1026" s="113"/>
      <c r="U1026" s="114"/>
      <c r="V1026" s="115"/>
      <c r="W1026" s="116"/>
      <c r="X1026" s="117"/>
      <c r="Y1026" s="111"/>
      <c r="Z1026" s="111"/>
    </row>
    <row r="1027" spans="1:26">
      <c r="A1027" s="111"/>
      <c r="B1027" s="111"/>
      <c r="C1027" s="111"/>
      <c r="D1027" s="111"/>
      <c r="E1027" s="111"/>
      <c r="F1027" s="111"/>
      <c r="G1027" s="111"/>
      <c r="H1027" s="111"/>
      <c r="I1027" s="111"/>
      <c r="J1027" s="111"/>
      <c r="K1027" s="111"/>
      <c r="L1027" s="111"/>
      <c r="M1027" s="111"/>
      <c r="N1027" s="111"/>
      <c r="O1027" s="111"/>
      <c r="P1027" s="111"/>
      <c r="Q1027" s="139"/>
      <c r="R1027" s="113"/>
      <c r="S1027" s="113"/>
      <c r="T1027" s="113"/>
      <c r="U1027" s="114"/>
      <c r="V1027" s="115"/>
      <c r="W1027" s="116"/>
      <c r="X1027" s="117"/>
      <c r="Y1027" s="111"/>
      <c r="Z1027" s="111"/>
    </row>
    <row r="1028" spans="1:26">
      <c r="A1028" s="111"/>
      <c r="B1028" s="111"/>
      <c r="C1028" s="111"/>
      <c r="D1028" s="111"/>
      <c r="E1028" s="111"/>
      <c r="F1028" s="111"/>
      <c r="G1028" s="111"/>
      <c r="H1028" s="111"/>
      <c r="I1028" s="111"/>
      <c r="J1028" s="111"/>
      <c r="K1028" s="111"/>
      <c r="L1028" s="111"/>
      <c r="M1028" s="111"/>
      <c r="N1028" s="111"/>
      <c r="O1028" s="111"/>
      <c r="P1028" s="111"/>
      <c r="Q1028" s="139"/>
      <c r="R1028" s="113"/>
      <c r="S1028" s="113"/>
      <c r="T1028" s="113"/>
      <c r="U1028" s="114"/>
      <c r="V1028" s="115"/>
      <c r="W1028" s="116"/>
      <c r="X1028" s="117"/>
      <c r="Y1028" s="111"/>
      <c r="Z1028" s="111"/>
    </row>
    <row r="1029" spans="1:26">
      <c r="A1029" s="111"/>
      <c r="B1029" s="111"/>
      <c r="C1029" s="111"/>
      <c r="D1029" s="111"/>
      <c r="E1029" s="111"/>
      <c r="F1029" s="111"/>
      <c r="G1029" s="111"/>
      <c r="H1029" s="111"/>
      <c r="I1029" s="111"/>
      <c r="J1029" s="111"/>
      <c r="K1029" s="111"/>
      <c r="L1029" s="111"/>
      <c r="M1029" s="111"/>
      <c r="N1029" s="111"/>
      <c r="O1029" s="111"/>
      <c r="P1029" s="111"/>
      <c r="Q1029" s="139"/>
      <c r="R1029" s="113"/>
      <c r="S1029" s="113"/>
      <c r="T1029" s="113"/>
      <c r="U1029" s="114"/>
      <c r="V1029" s="115"/>
      <c r="W1029" s="116"/>
      <c r="X1029" s="117"/>
      <c r="Y1029" s="111"/>
      <c r="Z1029" s="111"/>
    </row>
    <row r="1030" spans="1:26">
      <c r="A1030" s="111"/>
      <c r="B1030" s="111"/>
      <c r="C1030" s="111"/>
      <c r="D1030" s="111"/>
      <c r="E1030" s="111"/>
      <c r="F1030" s="111"/>
      <c r="G1030" s="111"/>
      <c r="H1030" s="111"/>
      <c r="I1030" s="111"/>
      <c r="J1030" s="111"/>
      <c r="K1030" s="111"/>
      <c r="L1030" s="111"/>
      <c r="M1030" s="111"/>
      <c r="N1030" s="111"/>
      <c r="O1030" s="111"/>
      <c r="P1030" s="111"/>
      <c r="Q1030" s="139"/>
      <c r="R1030" s="113"/>
      <c r="S1030" s="113"/>
      <c r="T1030" s="113"/>
      <c r="U1030" s="114"/>
      <c r="V1030" s="115"/>
      <c r="W1030" s="116"/>
      <c r="X1030" s="117"/>
      <c r="Y1030" s="111"/>
      <c r="Z1030" s="111"/>
    </row>
    <row r="1031" spans="1:26">
      <c r="A1031" s="111"/>
      <c r="B1031" s="111"/>
      <c r="C1031" s="111"/>
      <c r="D1031" s="111"/>
      <c r="E1031" s="111"/>
      <c r="F1031" s="111"/>
      <c r="G1031" s="111"/>
      <c r="H1031" s="111"/>
      <c r="I1031" s="111"/>
      <c r="J1031" s="111"/>
      <c r="K1031" s="111"/>
      <c r="L1031" s="111"/>
      <c r="M1031" s="111"/>
      <c r="N1031" s="111"/>
      <c r="O1031" s="111"/>
      <c r="P1031" s="111"/>
      <c r="Q1031" s="139"/>
      <c r="R1031" s="113"/>
      <c r="S1031" s="113"/>
      <c r="T1031" s="113"/>
      <c r="U1031" s="114"/>
      <c r="V1031" s="115"/>
      <c r="W1031" s="116"/>
      <c r="X1031" s="117"/>
      <c r="Y1031" s="111"/>
      <c r="Z1031" s="111"/>
    </row>
    <row r="1032" spans="1:26">
      <c r="A1032" s="111"/>
      <c r="B1032" s="111"/>
      <c r="C1032" s="111"/>
      <c r="D1032" s="111"/>
      <c r="E1032" s="111"/>
      <c r="F1032" s="111"/>
      <c r="G1032" s="111"/>
      <c r="H1032" s="111"/>
      <c r="I1032" s="111"/>
      <c r="J1032" s="111"/>
      <c r="K1032" s="111"/>
      <c r="L1032" s="111"/>
      <c r="M1032" s="111"/>
      <c r="N1032" s="111"/>
      <c r="O1032" s="111"/>
      <c r="P1032" s="111"/>
      <c r="Q1032" s="139"/>
      <c r="R1032" s="113"/>
      <c r="S1032" s="113"/>
      <c r="T1032" s="113"/>
      <c r="U1032" s="114"/>
      <c r="V1032" s="115"/>
      <c r="W1032" s="116"/>
      <c r="X1032" s="117"/>
      <c r="Y1032" s="111"/>
      <c r="Z1032" s="111"/>
    </row>
    <row r="1033" spans="1:26">
      <c r="A1033" s="111"/>
      <c r="B1033" s="111"/>
      <c r="C1033" s="111"/>
      <c r="D1033" s="111"/>
      <c r="E1033" s="111"/>
      <c r="F1033" s="111"/>
      <c r="G1033" s="111"/>
      <c r="H1033" s="111"/>
      <c r="I1033" s="111"/>
      <c r="J1033" s="111"/>
      <c r="K1033" s="111"/>
      <c r="L1033" s="111"/>
      <c r="M1033" s="111"/>
      <c r="N1033" s="111"/>
      <c r="O1033" s="111"/>
      <c r="P1033" s="111"/>
      <c r="Q1033" s="139"/>
      <c r="R1033" s="113"/>
      <c r="S1033" s="113"/>
      <c r="T1033" s="113"/>
      <c r="U1033" s="114"/>
      <c r="V1033" s="115"/>
      <c r="W1033" s="116"/>
      <c r="X1033" s="117"/>
      <c r="Y1033" s="111"/>
      <c r="Z1033" s="111"/>
    </row>
    <row r="1034" spans="1:26">
      <c r="A1034" s="111"/>
      <c r="B1034" s="111"/>
      <c r="C1034" s="111"/>
      <c r="D1034" s="111"/>
      <c r="E1034" s="111"/>
      <c r="F1034" s="111"/>
      <c r="G1034" s="111"/>
      <c r="H1034" s="111"/>
      <c r="I1034" s="111"/>
      <c r="J1034" s="111"/>
      <c r="K1034" s="111"/>
      <c r="L1034" s="111"/>
      <c r="M1034" s="111"/>
      <c r="N1034" s="111"/>
      <c r="O1034" s="111"/>
      <c r="P1034" s="111"/>
      <c r="Q1034" s="139"/>
      <c r="R1034" s="113"/>
      <c r="S1034" s="113"/>
      <c r="T1034" s="113"/>
      <c r="U1034" s="114"/>
      <c r="V1034" s="115"/>
      <c r="W1034" s="116"/>
      <c r="X1034" s="117"/>
      <c r="Y1034" s="111"/>
      <c r="Z1034" s="111"/>
    </row>
    <row r="1035" spans="1:26">
      <c r="A1035" s="111"/>
      <c r="B1035" s="111"/>
      <c r="C1035" s="111"/>
      <c r="D1035" s="111"/>
      <c r="E1035" s="111"/>
      <c r="F1035" s="111"/>
      <c r="G1035" s="111"/>
      <c r="H1035" s="111"/>
      <c r="I1035" s="111"/>
      <c r="J1035" s="111"/>
      <c r="K1035" s="111"/>
      <c r="L1035" s="111"/>
      <c r="M1035" s="111"/>
      <c r="N1035" s="111"/>
      <c r="O1035" s="111"/>
      <c r="P1035" s="111"/>
      <c r="Q1035" s="139"/>
      <c r="R1035" s="113"/>
      <c r="S1035" s="113"/>
      <c r="T1035" s="113"/>
      <c r="U1035" s="114"/>
      <c r="V1035" s="115"/>
      <c r="W1035" s="116"/>
      <c r="X1035" s="117"/>
      <c r="Y1035" s="111"/>
      <c r="Z1035" s="111"/>
    </row>
    <row r="1036" spans="1:26">
      <c r="A1036" s="111"/>
      <c r="B1036" s="111"/>
      <c r="C1036" s="111"/>
      <c r="D1036" s="111"/>
      <c r="E1036" s="111"/>
      <c r="F1036" s="111"/>
      <c r="G1036" s="111"/>
      <c r="H1036" s="111"/>
      <c r="I1036" s="111"/>
      <c r="J1036" s="111"/>
      <c r="K1036" s="111"/>
      <c r="L1036" s="111"/>
      <c r="M1036" s="111"/>
      <c r="N1036" s="111"/>
      <c r="O1036" s="111"/>
      <c r="P1036" s="111"/>
      <c r="Q1036" s="139"/>
      <c r="R1036" s="113"/>
      <c r="S1036" s="113"/>
      <c r="T1036" s="113"/>
      <c r="U1036" s="114"/>
      <c r="V1036" s="115"/>
      <c r="W1036" s="116"/>
      <c r="X1036" s="117"/>
      <c r="Y1036" s="111"/>
      <c r="Z1036" s="111"/>
    </row>
    <row r="1037" spans="1:26">
      <c r="A1037" s="111"/>
      <c r="B1037" s="111"/>
      <c r="C1037" s="111"/>
      <c r="D1037" s="111"/>
      <c r="E1037" s="111"/>
      <c r="F1037" s="111"/>
      <c r="G1037" s="111"/>
      <c r="H1037" s="111"/>
      <c r="I1037" s="111"/>
      <c r="J1037" s="111"/>
      <c r="K1037" s="111"/>
      <c r="L1037" s="111"/>
      <c r="M1037" s="111"/>
      <c r="N1037" s="111"/>
      <c r="O1037" s="111"/>
      <c r="P1037" s="111"/>
      <c r="Q1037" s="139"/>
      <c r="R1037" s="113"/>
      <c r="S1037" s="113"/>
      <c r="T1037" s="113"/>
      <c r="U1037" s="114"/>
      <c r="V1037" s="115"/>
      <c r="W1037" s="116"/>
      <c r="X1037" s="117"/>
      <c r="Y1037" s="111"/>
      <c r="Z1037" s="111"/>
    </row>
    <row r="1038" spans="1:26">
      <c r="A1038" s="111"/>
      <c r="B1038" s="111"/>
      <c r="C1038" s="111"/>
      <c r="D1038" s="111"/>
      <c r="E1038" s="111"/>
      <c r="F1038" s="111"/>
      <c r="G1038" s="111"/>
      <c r="H1038" s="111"/>
      <c r="I1038" s="111"/>
      <c r="J1038" s="111"/>
      <c r="K1038" s="111"/>
      <c r="L1038" s="111"/>
      <c r="M1038" s="111"/>
      <c r="N1038" s="111"/>
      <c r="O1038" s="111"/>
      <c r="P1038" s="111"/>
      <c r="Q1038" s="139"/>
      <c r="R1038" s="113"/>
      <c r="S1038" s="113"/>
      <c r="T1038" s="113"/>
      <c r="U1038" s="114"/>
      <c r="V1038" s="115"/>
      <c r="W1038" s="116"/>
      <c r="X1038" s="117"/>
      <c r="Y1038" s="111"/>
      <c r="Z1038" s="111"/>
    </row>
    <row r="1039" spans="1:26">
      <c r="A1039" s="111"/>
      <c r="B1039" s="111"/>
      <c r="C1039" s="111"/>
      <c r="D1039" s="111"/>
      <c r="E1039" s="111"/>
      <c r="F1039" s="111"/>
      <c r="G1039" s="111"/>
      <c r="H1039" s="111"/>
      <c r="I1039" s="111"/>
      <c r="J1039" s="111"/>
      <c r="K1039" s="111"/>
      <c r="L1039" s="111"/>
      <c r="M1039" s="111"/>
      <c r="N1039" s="111"/>
      <c r="O1039" s="111"/>
      <c r="P1039" s="111"/>
      <c r="Q1039" s="139"/>
      <c r="R1039" s="113"/>
      <c r="S1039" s="113"/>
      <c r="T1039" s="113"/>
      <c r="U1039" s="114"/>
      <c r="V1039" s="115"/>
      <c r="W1039" s="116"/>
      <c r="X1039" s="117"/>
      <c r="Y1039" s="111"/>
      <c r="Z1039" s="111"/>
    </row>
    <row r="1040" spans="1:26">
      <c r="A1040" s="111"/>
      <c r="B1040" s="111"/>
      <c r="C1040" s="111"/>
      <c r="D1040" s="111"/>
      <c r="E1040" s="111"/>
      <c r="F1040" s="111"/>
      <c r="G1040" s="111"/>
      <c r="H1040" s="111"/>
      <c r="I1040" s="111"/>
      <c r="J1040" s="111"/>
      <c r="K1040" s="111"/>
      <c r="L1040" s="111"/>
      <c r="M1040" s="111"/>
      <c r="N1040" s="111"/>
      <c r="O1040" s="111"/>
      <c r="P1040" s="111"/>
      <c r="Q1040" s="139"/>
      <c r="R1040" s="113"/>
      <c r="S1040" s="113"/>
      <c r="T1040" s="113"/>
      <c r="U1040" s="114"/>
      <c r="V1040" s="115"/>
      <c r="W1040" s="116"/>
      <c r="X1040" s="117"/>
      <c r="Y1040" s="111"/>
      <c r="Z1040" s="111"/>
    </row>
    <row r="1041" spans="1:26">
      <c r="A1041" s="111"/>
      <c r="B1041" s="111"/>
      <c r="C1041" s="111"/>
      <c r="D1041" s="111"/>
      <c r="E1041" s="111"/>
      <c r="F1041" s="111"/>
      <c r="G1041" s="111"/>
      <c r="H1041" s="111"/>
      <c r="I1041" s="111"/>
      <c r="J1041" s="111"/>
      <c r="K1041" s="111"/>
      <c r="L1041" s="111"/>
      <c r="M1041" s="111"/>
      <c r="N1041" s="111"/>
      <c r="O1041" s="111"/>
      <c r="P1041" s="111"/>
      <c r="Q1041" s="139"/>
      <c r="R1041" s="113"/>
      <c r="S1041" s="113"/>
      <c r="T1041" s="113"/>
      <c r="U1041" s="114"/>
      <c r="V1041" s="115"/>
      <c r="W1041" s="116"/>
      <c r="X1041" s="117"/>
      <c r="Y1041" s="111"/>
      <c r="Z1041" s="111"/>
    </row>
    <row r="1042" spans="1:26">
      <c r="A1042" s="111"/>
      <c r="B1042" s="111"/>
      <c r="C1042" s="111"/>
      <c r="D1042" s="111"/>
      <c r="E1042" s="111"/>
      <c r="F1042" s="111"/>
      <c r="G1042" s="111"/>
      <c r="H1042" s="111"/>
      <c r="I1042" s="111"/>
      <c r="J1042" s="111"/>
      <c r="K1042" s="111"/>
      <c r="L1042" s="111"/>
      <c r="M1042" s="111"/>
      <c r="N1042" s="111"/>
      <c r="O1042" s="111"/>
      <c r="P1042" s="111"/>
      <c r="Q1042" s="139"/>
      <c r="R1042" s="113"/>
      <c r="S1042" s="113"/>
      <c r="T1042" s="113"/>
      <c r="U1042" s="114"/>
      <c r="V1042" s="115"/>
      <c r="W1042" s="116"/>
      <c r="X1042" s="117"/>
      <c r="Y1042" s="111"/>
      <c r="Z1042" s="111"/>
    </row>
    <row r="1043" spans="1:26">
      <c r="A1043" s="111"/>
      <c r="B1043" s="111"/>
      <c r="C1043" s="111"/>
      <c r="D1043" s="111"/>
      <c r="E1043" s="111"/>
      <c r="F1043" s="111"/>
      <c r="G1043" s="111"/>
      <c r="H1043" s="111"/>
      <c r="I1043" s="111"/>
      <c r="J1043" s="111"/>
      <c r="K1043" s="111"/>
      <c r="L1043" s="111"/>
      <c r="M1043" s="111"/>
      <c r="N1043" s="111"/>
      <c r="O1043" s="111"/>
      <c r="P1043" s="111"/>
      <c r="Q1043" s="139"/>
      <c r="R1043" s="113"/>
      <c r="S1043" s="113"/>
      <c r="T1043" s="113"/>
      <c r="U1043" s="114"/>
      <c r="V1043" s="115"/>
      <c r="W1043" s="116"/>
      <c r="X1043" s="117"/>
      <c r="Y1043" s="111"/>
      <c r="Z1043" s="111"/>
    </row>
    <row r="1044" spans="1:26">
      <c r="A1044" s="111"/>
      <c r="B1044" s="111"/>
      <c r="C1044" s="111"/>
      <c r="D1044" s="111"/>
      <c r="E1044" s="111"/>
      <c r="F1044" s="111"/>
      <c r="G1044" s="111"/>
      <c r="H1044" s="111"/>
      <c r="I1044" s="111"/>
      <c r="J1044" s="111"/>
      <c r="K1044" s="111"/>
      <c r="L1044" s="111"/>
      <c r="M1044" s="111"/>
      <c r="N1044" s="111"/>
      <c r="O1044" s="111"/>
      <c r="P1044" s="111"/>
      <c r="Q1044" s="139"/>
      <c r="R1044" s="113"/>
      <c r="S1044" s="113"/>
      <c r="T1044" s="113"/>
      <c r="U1044" s="114"/>
      <c r="V1044" s="115"/>
      <c r="W1044" s="116"/>
      <c r="X1044" s="117"/>
      <c r="Y1044" s="111"/>
      <c r="Z1044" s="111"/>
    </row>
    <row r="1045" spans="1:26">
      <c r="A1045" s="111"/>
      <c r="B1045" s="111"/>
      <c r="C1045" s="111"/>
      <c r="D1045" s="111"/>
      <c r="E1045" s="111"/>
      <c r="F1045" s="111"/>
      <c r="G1045" s="111"/>
      <c r="H1045" s="111"/>
      <c r="I1045" s="111"/>
      <c r="J1045" s="111"/>
      <c r="K1045" s="111"/>
      <c r="L1045" s="111"/>
      <c r="M1045" s="111"/>
      <c r="N1045" s="111"/>
      <c r="O1045" s="111"/>
      <c r="P1045" s="111"/>
      <c r="Q1045" s="139"/>
      <c r="R1045" s="113"/>
      <c r="S1045" s="113"/>
      <c r="T1045" s="113"/>
      <c r="U1045" s="114"/>
      <c r="V1045" s="115"/>
      <c r="W1045" s="116"/>
      <c r="X1045" s="117"/>
      <c r="Y1045" s="111"/>
      <c r="Z1045" s="111"/>
    </row>
    <row r="1046" spans="1:26">
      <c r="A1046" s="111"/>
      <c r="B1046" s="111"/>
      <c r="C1046" s="111"/>
      <c r="D1046" s="111"/>
      <c r="E1046" s="111"/>
      <c r="F1046" s="111"/>
      <c r="G1046" s="111"/>
      <c r="H1046" s="111"/>
      <c r="I1046" s="111"/>
      <c r="J1046" s="111"/>
      <c r="K1046" s="111"/>
      <c r="L1046" s="111"/>
      <c r="M1046" s="111"/>
      <c r="N1046" s="111"/>
      <c r="O1046" s="111"/>
      <c r="P1046" s="111"/>
      <c r="Q1046" s="139"/>
      <c r="R1046" s="113"/>
      <c r="S1046" s="113"/>
      <c r="T1046" s="113"/>
      <c r="U1046" s="114"/>
      <c r="V1046" s="115"/>
      <c r="W1046" s="116"/>
      <c r="X1046" s="117"/>
      <c r="Y1046" s="111"/>
      <c r="Z1046" s="111"/>
    </row>
    <row r="1047" spans="1:26">
      <c r="A1047" s="111"/>
      <c r="B1047" s="111"/>
      <c r="C1047" s="111"/>
      <c r="D1047" s="111"/>
      <c r="E1047" s="111"/>
      <c r="F1047" s="111"/>
      <c r="G1047" s="111"/>
      <c r="H1047" s="111"/>
      <c r="I1047" s="111"/>
      <c r="J1047" s="111"/>
      <c r="K1047" s="111"/>
      <c r="L1047" s="111"/>
      <c r="M1047" s="111"/>
      <c r="N1047" s="111"/>
      <c r="O1047" s="111"/>
      <c r="P1047" s="111"/>
      <c r="Q1047" s="139"/>
      <c r="R1047" s="113"/>
      <c r="S1047" s="113"/>
      <c r="T1047" s="113"/>
      <c r="U1047" s="114"/>
      <c r="V1047" s="115"/>
      <c r="W1047" s="116"/>
      <c r="X1047" s="117"/>
      <c r="Y1047" s="111"/>
      <c r="Z1047" s="111"/>
    </row>
    <row r="1048" spans="1:26">
      <c r="A1048" s="111"/>
      <c r="B1048" s="111"/>
      <c r="C1048" s="111"/>
      <c r="D1048" s="111"/>
      <c r="E1048" s="111"/>
      <c r="F1048" s="111"/>
      <c r="G1048" s="111"/>
      <c r="H1048" s="111"/>
      <c r="I1048" s="111"/>
      <c r="J1048" s="111"/>
      <c r="K1048" s="111"/>
      <c r="L1048" s="111"/>
      <c r="M1048" s="111"/>
      <c r="N1048" s="111"/>
      <c r="O1048" s="111"/>
      <c r="P1048" s="111"/>
      <c r="Q1048" s="139"/>
      <c r="R1048" s="113"/>
      <c r="S1048" s="113"/>
      <c r="T1048" s="113"/>
      <c r="U1048" s="114"/>
      <c r="V1048" s="115"/>
      <c r="W1048" s="116"/>
      <c r="X1048" s="117"/>
      <c r="Y1048" s="111"/>
      <c r="Z1048" s="111"/>
    </row>
    <row r="1049" spans="1:26">
      <c r="A1049" s="111"/>
      <c r="B1049" s="111"/>
      <c r="C1049" s="111"/>
      <c r="D1049" s="111"/>
      <c r="E1049" s="111"/>
      <c r="F1049" s="111"/>
      <c r="G1049" s="111"/>
      <c r="H1049" s="111"/>
      <c r="I1049" s="111"/>
      <c r="J1049" s="111"/>
      <c r="K1049" s="111"/>
      <c r="L1049" s="111"/>
      <c r="M1049" s="111"/>
      <c r="N1049" s="111"/>
      <c r="O1049" s="111"/>
      <c r="P1049" s="111"/>
      <c r="Q1049" s="139"/>
      <c r="R1049" s="113"/>
      <c r="S1049" s="113"/>
      <c r="T1049" s="113"/>
      <c r="U1049" s="114"/>
      <c r="V1049" s="115"/>
      <c r="W1049" s="116"/>
      <c r="X1049" s="117"/>
      <c r="Y1049" s="111"/>
      <c r="Z1049" s="111"/>
    </row>
    <row r="1050" spans="1:26">
      <c r="A1050" s="111"/>
      <c r="B1050" s="111"/>
      <c r="C1050" s="111"/>
      <c r="D1050" s="111"/>
      <c r="E1050" s="111"/>
      <c r="F1050" s="111"/>
      <c r="G1050" s="111"/>
      <c r="H1050" s="111"/>
      <c r="I1050" s="111"/>
      <c r="J1050" s="111"/>
      <c r="K1050" s="111"/>
      <c r="L1050" s="111"/>
      <c r="M1050" s="111"/>
      <c r="N1050" s="111"/>
      <c r="O1050" s="111"/>
      <c r="P1050" s="111"/>
      <c r="Q1050" s="139"/>
      <c r="R1050" s="113"/>
      <c r="S1050" s="113"/>
      <c r="T1050" s="113"/>
      <c r="U1050" s="114"/>
      <c r="V1050" s="115"/>
      <c r="W1050" s="116"/>
      <c r="X1050" s="117"/>
      <c r="Y1050" s="111"/>
      <c r="Z1050" s="111"/>
    </row>
    <row r="1051" spans="1:26">
      <c r="A1051" s="111"/>
      <c r="B1051" s="111"/>
      <c r="C1051" s="111"/>
      <c r="D1051" s="111"/>
      <c r="E1051" s="111"/>
      <c r="F1051" s="111"/>
      <c r="G1051" s="111"/>
      <c r="H1051" s="111"/>
      <c r="I1051" s="111"/>
      <c r="J1051" s="111"/>
      <c r="K1051" s="111"/>
      <c r="L1051" s="111"/>
      <c r="M1051" s="111"/>
      <c r="N1051" s="111"/>
      <c r="O1051" s="111"/>
      <c r="P1051" s="111"/>
      <c r="Q1051" s="139"/>
      <c r="R1051" s="113"/>
      <c r="S1051" s="113"/>
      <c r="T1051" s="113"/>
      <c r="U1051" s="114"/>
      <c r="V1051" s="115"/>
      <c r="W1051" s="116"/>
      <c r="X1051" s="117"/>
      <c r="Y1051" s="111"/>
      <c r="Z1051" s="111"/>
    </row>
    <row r="1052" spans="1:26">
      <c r="A1052" s="111"/>
      <c r="B1052" s="111"/>
      <c r="C1052" s="111"/>
      <c r="D1052" s="111"/>
      <c r="E1052" s="111"/>
      <c r="F1052" s="111"/>
      <c r="G1052" s="111"/>
      <c r="H1052" s="111"/>
      <c r="I1052" s="111"/>
      <c r="J1052" s="111"/>
      <c r="K1052" s="111"/>
      <c r="L1052" s="111"/>
      <c r="M1052" s="111"/>
      <c r="N1052" s="111"/>
      <c r="O1052" s="111"/>
      <c r="P1052" s="111"/>
      <c r="Q1052" s="139"/>
      <c r="R1052" s="113"/>
      <c r="S1052" s="113"/>
      <c r="T1052" s="113"/>
      <c r="U1052" s="114"/>
      <c r="V1052" s="115"/>
      <c r="W1052" s="116"/>
      <c r="X1052" s="117"/>
      <c r="Y1052" s="111"/>
      <c r="Z1052" s="111"/>
    </row>
    <row r="1053" spans="1:26">
      <c r="A1053" s="111"/>
      <c r="B1053" s="111"/>
      <c r="C1053" s="111"/>
      <c r="D1053" s="111"/>
      <c r="E1053" s="111"/>
      <c r="F1053" s="111"/>
      <c r="G1053" s="111"/>
      <c r="H1053" s="111"/>
      <c r="I1053" s="111"/>
      <c r="J1053" s="111"/>
      <c r="K1053" s="111"/>
      <c r="L1053" s="111"/>
      <c r="M1053" s="111"/>
      <c r="N1053" s="111"/>
      <c r="O1053" s="111"/>
      <c r="P1053" s="111"/>
      <c r="Q1053" s="139"/>
      <c r="R1053" s="113"/>
      <c r="S1053" s="113"/>
      <c r="T1053" s="113"/>
      <c r="U1053" s="114"/>
      <c r="V1053" s="115"/>
      <c r="W1053" s="116"/>
      <c r="X1053" s="117"/>
      <c r="Y1053" s="111"/>
      <c r="Z1053" s="111"/>
    </row>
    <row r="1054" spans="1:26">
      <c r="A1054" s="111"/>
      <c r="B1054" s="111"/>
      <c r="C1054" s="111"/>
      <c r="D1054" s="111"/>
      <c r="E1054" s="111"/>
      <c r="F1054" s="111"/>
      <c r="G1054" s="111"/>
      <c r="H1054" s="111"/>
      <c r="I1054" s="111"/>
      <c r="J1054" s="111"/>
      <c r="K1054" s="111"/>
      <c r="L1054" s="111"/>
      <c r="M1054" s="111"/>
      <c r="N1054" s="111"/>
      <c r="O1054" s="111"/>
      <c r="P1054" s="111"/>
      <c r="Q1054" s="139"/>
      <c r="R1054" s="113"/>
      <c r="S1054" s="113"/>
      <c r="T1054" s="113"/>
      <c r="U1054" s="114"/>
      <c r="V1054" s="115"/>
      <c r="W1054" s="116"/>
      <c r="X1054" s="117"/>
      <c r="Y1054" s="111"/>
      <c r="Z1054" s="111"/>
    </row>
    <row r="1055" spans="1:26">
      <c r="A1055" s="111"/>
      <c r="B1055" s="111"/>
      <c r="C1055" s="111"/>
      <c r="D1055" s="111"/>
      <c r="E1055" s="111"/>
      <c r="F1055" s="111"/>
      <c r="G1055" s="111"/>
      <c r="H1055" s="111"/>
      <c r="I1055" s="111"/>
      <c r="J1055" s="111"/>
      <c r="K1055" s="111"/>
      <c r="L1055" s="111"/>
      <c r="M1055" s="111"/>
      <c r="N1055" s="111"/>
      <c r="O1055" s="111"/>
      <c r="P1055" s="111"/>
      <c r="Q1055" s="139"/>
      <c r="R1055" s="113"/>
      <c r="S1055" s="113"/>
      <c r="T1055" s="113"/>
      <c r="U1055" s="114"/>
      <c r="V1055" s="115"/>
      <c r="W1055" s="116"/>
      <c r="X1055" s="117"/>
      <c r="Y1055" s="111"/>
      <c r="Z1055" s="111"/>
    </row>
    <row r="1056" spans="1:26">
      <c r="A1056" s="111"/>
      <c r="B1056" s="111"/>
      <c r="C1056" s="111"/>
      <c r="D1056" s="111"/>
      <c r="E1056" s="111"/>
      <c r="F1056" s="111"/>
      <c r="G1056" s="111"/>
      <c r="H1056" s="111"/>
      <c r="I1056" s="111"/>
      <c r="J1056" s="111"/>
      <c r="K1056" s="111"/>
      <c r="L1056" s="111"/>
      <c r="M1056" s="111"/>
      <c r="N1056" s="111"/>
      <c r="O1056" s="111"/>
      <c r="P1056" s="111"/>
      <c r="Q1056" s="139"/>
      <c r="R1056" s="113"/>
      <c r="S1056" s="113"/>
      <c r="T1056" s="113"/>
      <c r="U1056" s="114"/>
      <c r="V1056" s="115"/>
      <c r="W1056" s="116"/>
      <c r="X1056" s="117"/>
      <c r="Y1056" s="111"/>
      <c r="Z1056" s="111"/>
    </row>
    <row r="1057" spans="1:26">
      <c r="A1057" s="111"/>
      <c r="B1057" s="111"/>
      <c r="C1057" s="111"/>
      <c r="D1057" s="111"/>
      <c r="E1057" s="111"/>
      <c r="F1057" s="111"/>
      <c r="G1057" s="111"/>
      <c r="H1057" s="111"/>
      <c r="I1057" s="111"/>
      <c r="J1057" s="111"/>
      <c r="K1057" s="111"/>
      <c r="L1057" s="111"/>
      <c r="M1057" s="111"/>
      <c r="N1057" s="111"/>
      <c r="O1057" s="111"/>
      <c r="P1057" s="111"/>
      <c r="Q1057" s="139"/>
      <c r="R1057" s="113"/>
      <c r="S1057" s="113"/>
      <c r="T1057" s="113"/>
      <c r="U1057" s="114"/>
      <c r="V1057" s="115"/>
      <c r="W1057" s="116"/>
      <c r="X1057" s="117"/>
      <c r="Y1057" s="111"/>
      <c r="Z1057" s="111"/>
    </row>
    <row r="1058" spans="1:26">
      <c r="A1058" s="111"/>
      <c r="B1058" s="111"/>
      <c r="C1058" s="111"/>
      <c r="D1058" s="111"/>
      <c r="E1058" s="111"/>
      <c r="F1058" s="111"/>
      <c r="G1058" s="111"/>
      <c r="H1058" s="111"/>
      <c r="I1058" s="111"/>
      <c r="J1058" s="111"/>
      <c r="K1058" s="111"/>
      <c r="L1058" s="111"/>
      <c r="M1058" s="111"/>
      <c r="N1058" s="111"/>
      <c r="O1058" s="111"/>
      <c r="P1058" s="111"/>
      <c r="Q1058" s="139"/>
      <c r="R1058" s="113"/>
      <c r="S1058" s="113"/>
      <c r="T1058" s="113"/>
      <c r="U1058" s="114"/>
      <c r="V1058" s="115"/>
      <c r="W1058" s="116"/>
      <c r="X1058" s="117"/>
      <c r="Y1058" s="111"/>
      <c r="Z1058" s="111"/>
    </row>
    <row r="1059" spans="1:26">
      <c r="A1059" s="111"/>
      <c r="B1059" s="111"/>
      <c r="C1059" s="111"/>
      <c r="D1059" s="111"/>
      <c r="E1059" s="111"/>
      <c r="F1059" s="111"/>
      <c r="G1059" s="111"/>
      <c r="H1059" s="111"/>
      <c r="I1059" s="111"/>
      <c r="J1059" s="111"/>
      <c r="K1059" s="111"/>
      <c r="L1059" s="111"/>
      <c r="M1059" s="111"/>
      <c r="N1059" s="111"/>
      <c r="O1059" s="111"/>
      <c r="P1059" s="111"/>
      <c r="Q1059" s="139"/>
      <c r="R1059" s="113"/>
      <c r="S1059" s="113"/>
      <c r="T1059" s="113"/>
      <c r="U1059" s="114"/>
      <c r="V1059" s="115"/>
      <c r="W1059" s="116"/>
      <c r="X1059" s="117"/>
      <c r="Y1059" s="111"/>
      <c r="Z1059" s="111"/>
    </row>
    <row r="1060" spans="1:26">
      <c r="A1060" s="111"/>
      <c r="B1060" s="111"/>
      <c r="C1060" s="111"/>
      <c r="D1060" s="111"/>
      <c r="E1060" s="111"/>
      <c r="F1060" s="111"/>
      <c r="G1060" s="111"/>
      <c r="H1060" s="111"/>
      <c r="I1060" s="111"/>
      <c r="J1060" s="111"/>
      <c r="K1060" s="111"/>
      <c r="L1060" s="111"/>
      <c r="M1060" s="111"/>
      <c r="N1060" s="111"/>
      <c r="O1060" s="111"/>
      <c r="P1060" s="111"/>
      <c r="Q1060" s="139"/>
      <c r="R1060" s="113"/>
      <c r="S1060" s="113"/>
      <c r="T1060" s="113"/>
      <c r="U1060" s="114"/>
      <c r="V1060" s="115"/>
      <c r="W1060" s="116"/>
      <c r="X1060" s="117"/>
      <c r="Y1060" s="111"/>
      <c r="Z1060" s="111"/>
    </row>
    <row r="1061" spans="1:26">
      <c r="A1061" s="111"/>
      <c r="B1061" s="111"/>
      <c r="C1061" s="111"/>
      <c r="D1061" s="111"/>
      <c r="E1061" s="111"/>
      <c r="F1061" s="111"/>
      <c r="G1061" s="111"/>
      <c r="H1061" s="111"/>
      <c r="I1061" s="111"/>
      <c r="J1061" s="111"/>
      <c r="K1061" s="111"/>
      <c r="L1061" s="111"/>
      <c r="M1061" s="111"/>
      <c r="N1061" s="111"/>
      <c r="O1061" s="111"/>
      <c r="P1061" s="111"/>
      <c r="Q1061" s="139"/>
      <c r="R1061" s="113"/>
      <c r="S1061" s="113"/>
      <c r="T1061" s="113"/>
      <c r="U1061" s="114"/>
      <c r="V1061" s="115"/>
      <c r="W1061" s="116"/>
      <c r="X1061" s="117"/>
      <c r="Y1061" s="111"/>
      <c r="Z1061" s="111"/>
    </row>
    <row r="1062" spans="1:26">
      <c r="A1062" s="111"/>
      <c r="B1062" s="111"/>
      <c r="C1062" s="111"/>
      <c r="D1062" s="111"/>
      <c r="E1062" s="111"/>
      <c r="F1062" s="111"/>
      <c r="G1062" s="111"/>
      <c r="H1062" s="111"/>
      <c r="I1062" s="111"/>
      <c r="J1062" s="111"/>
      <c r="K1062" s="111"/>
      <c r="L1062" s="111"/>
      <c r="M1062" s="111"/>
      <c r="N1062" s="111"/>
      <c r="O1062" s="111"/>
      <c r="P1062" s="111"/>
      <c r="Q1062" s="139"/>
      <c r="R1062" s="113"/>
      <c r="S1062" s="113"/>
      <c r="T1062" s="113"/>
      <c r="U1062" s="114"/>
      <c r="V1062" s="115"/>
      <c r="W1062" s="116"/>
      <c r="X1062" s="117"/>
      <c r="Y1062" s="111"/>
      <c r="Z1062" s="111"/>
    </row>
    <row r="1063" spans="1:26">
      <c r="A1063" s="111"/>
      <c r="B1063" s="111"/>
      <c r="C1063" s="111"/>
      <c r="D1063" s="111"/>
      <c r="E1063" s="111"/>
      <c r="F1063" s="111"/>
      <c r="G1063" s="111"/>
      <c r="H1063" s="111"/>
      <c r="I1063" s="111"/>
      <c r="J1063" s="111"/>
      <c r="K1063" s="111"/>
      <c r="L1063" s="111"/>
      <c r="M1063" s="111"/>
      <c r="N1063" s="111"/>
      <c r="O1063" s="111"/>
      <c r="P1063" s="111"/>
      <c r="Q1063" s="139"/>
      <c r="R1063" s="113"/>
      <c r="S1063" s="113"/>
      <c r="T1063" s="113"/>
      <c r="U1063" s="114"/>
      <c r="V1063" s="115"/>
      <c r="W1063" s="116"/>
      <c r="X1063" s="117"/>
      <c r="Y1063" s="111"/>
      <c r="Z1063" s="111"/>
    </row>
    <row r="1064" spans="1:26">
      <c r="A1064" s="111"/>
      <c r="B1064" s="111"/>
      <c r="C1064" s="111"/>
      <c r="D1064" s="111"/>
      <c r="E1064" s="111"/>
      <c r="F1064" s="111"/>
      <c r="G1064" s="111"/>
      <c r="H1064" s="111"/>
      <c r="I1064" s="111"/>
      <c r="J1064" s="111"/>
      <c r="K1064" s="111"/>
      <c r="L1064" s="111"/>
      <c r="M1064" s="111"/>
      <c r="N1064" s="111"/>
      <c r="O1064" s="111"/>
      <c r="P1064" s="111"/>
      <c r="Q1064" s="139"/>
      <c r="R1064" s="113"/>
      <c r="S1064" s="113"/>
      <c r="T1064" s="113"/>
      <c r="U1064" s="114"/>
      <c r="V1064" s="115"/>
      <c r="W1064" s="116"/>
      <c r="X1064" s="117"/>
      <c r="Y1064" s="111"/>
      <c r="Z1064" s="111"/>
    </row>
    <row r="1065" spans="1:26">
      <c r="A1065" s="111"/>
      <c r="B1065" s="111"/>
      <c r="C1065" s="111"/>
      <c r="D1065" s="111"/>
      <c r="E1065" s="111"/>
      <c r="F1065" s="111"/>
      <c r="G1065" s="111"/>
      <c r="H1065" s="111"/>
      <c r="I1065" s="111"/>
      <c r="J1065" s="111"/>
      <c r="K1065" s="111"/>
      <c r="L1065" s="111"/>
      <c r="M1065" s="111"/>
      <c r="N1065" s="111"/>
      <c r="O1065" s="111"/>
      <c r="P1065" s="111"/>
      <c r="Q1065" s="139"/>
      <c r="R1065" s="113"/>
      <c r="S1065" s="113"/>
      <c r="T1065" s="113"/>
      <c r="U1065" s="114"/>
      <c r="V1065" s="115"/>
      <c r="W1065" s="116"/>
      <c r="X1065" s="117"/>
      <c r="Y1065" s="111"/>
      <c r="Z1065" s="111"/>
    </row>
    <row r="1066" spans="1:26">
      <c r="A1066" s="111"/>
      <c r="B1066" s="111"/>
      <c r="C1066" s="111"/>
      <c r="D1066" s="111"/>
      <c r="E1066" s="111"/>
      <c r="F1066" s="111"/>
      <c r="G1066" s="111"/>
      <c r="H1066" s="111"/>
      <c r="I1066" s="111"/>
      <c r="J1066" s="111"/>
      <c r="K1066" s="111"/>
      <c r="L1066" s="111"/>
      <c r="M1066" s="111"/>
      <c r="N1066" s="111"/>
      <c r="O1066" s="111"/>
      <c r="P1066" s="111"/>
      <c r="Q1066" s="139"/>
      <c r="R1066" s="113"/>
      <c r="S1066" s="113"/>
      <c r="T1066" s="113"/>
      <c r="U1066" s="114"/>
      <c r="V1066" s="115"/>
      <c r="W1066" s="116"/>
      <c r="X1066" s="117"/>
      <c r="Y1066" s="111"/>
      <c r="Z1066" s="111"/>
    </row>
  </sheetData>
  <dataValidations count="1">
    <dataValidation type="list" allowBlank="1" showErrorMessage="1" sqref="U3:U14 U16 S55:S829" xr:uid="{00000000-0002-0000-0900-000002000000}">
      <formula1>"Yes,No"</formula1>
    </dataValidation>
  </dataValidations>
  <hyperlinks>
    <hyperlink ref="F2" r:id="rId1" xr:uid="{00000000-0004-0000-0900-000000000000}"/>
    <hyperlink ref="F15" r:id="rId2" xr:uid="{00000000-0004-0000-0900-000001000000}"/>
    <hyperlink ref="F18" r:id="rId3" xr:uid="{00000000-0004-0000-0900-000002000000}"/>
    <hyperlink ref="F20" r:id="rId4" xr:uid="{00000000-0004-0000-0900-000003000000}"/>
    <hyperlink ref="F25" r:id="rId5" xr:uid="{00000000-0004-0000-0900-000004000000}"/>
    <hyperlink ref="F27" r:id="rId6" xr:uid="{00000000-0004-0000-0900-000005000000}"/>
    <hyperlink ref="F29" r:id="rId7" xr:uid="{00000000-0004-0000-0900-000006000000}"/>
    <hyperlink ref="F31" r:id="rId8" xr:uid="{00000000-0004-0000-0900-000007000000}"/>
    <hyperlink ref="F33" r:id="rId9" xr:uid="{00000000-0004-0000-0900-000008000000}"/>
    <hyperlink ref="F35" r:id="rId10" xr:uid="{00000000-0004-0000-0900-000009000000}"/>
    <hyperlink ref="F36" r:id="rId11" xr:uid="{00000000-0004-0000-0900-00000A000000}"/>
    <hyperlink ref="F38" r:id="rId12" xr:uid="{00000000-0004-0000-0900-00000B000000}"/>
  </hyperlinks>
  <pageMargins left="0.7" right="0.7" top="0.75" bottom="0.75" header="0.3" footer="0.3"/>
  <drawing r:id="rId13"/>
  <legacyDrawing r:id="rId14"/>
  <extLst>
    <ext xmlns:x14="http://schemas.microsoft.com/office/spreadsheetml/2009/9/main" uri="{CCE6A557-97BC-4b89-ADB6-D9C93CAAB3DF}">
      <x14:dataValidations xmlns:xm="http://schemas.microsoft.com/office/excel/2006/main" count="5">
        <x14:dataValidation type="list" allowBlank="1" xr:uid="{00000000-0002-0000-0900-000000000000}">
          <x14:formula1>
            <xm:f>Fields!$F$2:$F$4</xm:f>
          </x14:formula1>
          <xm:sqref>C2:C17 C41:C769</xm:sqref>
        </x14:dataValidation>
        <x14:dataValidation type="list" allowBlank="1" xr:uid="{00000000-0002-0000-0900-000001000000}">
          <x14:formula1>
            <xm:f>Fields!$F$2:$F$8</xm:f>
          </x14:formula1>
          <xm:sqref>C18:C40</xm:sqref>
        </x14:dataValidation>
        <x14:dataValidation type="list" allowBlank="1" xr:uid="{00000000-0002-0000-0900-000003000000}">
          <x14:formula1>
            <xm:f>Fields!$D$2:$D$10</xm:f>
          </x14:formula1>
          <xm:sqref>B18:B40</xm:sqref>
        </x14:dataValidation>
        <x14:dataValidation type="list" allowBlank="1" xr:uid="{00000000-0002-0000-0900-000004000000}">
          <x14:formula1>
            <xm:f>Fields!$A$2:$A$8</xm:f>
          </x14:formula1>
          <xm:sqref>D15 D18:D38</xm:sqref>
        </x14:dataValidation>
        <x14:dataValidation type="list" allowBlank="1" xr:uid="{00000000-0002-0000-0900-000005000000}">
          <x14:formula1>
            <xm:f>Fields!$D$2:$D$6</xm:f>
          </x14:formula1>
          <xm:sqref>B15</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G11"/>
  <sheetViews>
    <sheetView workbookViewId="0"/>
  </sheetViews>
  <sheetFormatPr defaultColWidth="12.5703125" defaultRowHeight="15" customHeight="1"/>
  <cols>
    <col min="1" max="1" width="5.140625" customWidth="1"/>
    <col min="2" max="2" width="6.28515625" customWidth="1"/>
    <col min="3" max="3" width="5.42578125" customWidth="1"/>
    <col min="4" max="4" width="11.28515625" customWidth="1"/>
    <col min="5" max="5" width="24.140625" customWidth="1"/>
    <col min="6" max="6" width="54.140625" customWidth="1"/>
    <col min="7" max="7" width="24.85546875" customWidth="1"/>
    <col min="8" max="8" width="12.42578125" customWidth="1"/>
    <col min="9" max="10" width="7.42578125" customWidth="1"/>
    <col min="11" max="11" width="6.42578125" customWidth="1"/>
    <col min="12" max="12" width="8.42578125" customWidth="1"/>
    <col min="13" max="14" width="6.42578125" customWidth="1"/>
    <col min="15" max="16" width="7.42578125" customWidth="1"/>
    <col min="17" max="17" width="18.28515625" customWidth="1"/>
    <col min="18" max="18" width="5.7109375" customWidth="1"/>
    <col min="19" max="19" width="5.5703125" customWidth="1"/>
    <col min="20" max="20" width="6.5703125" customWidth="1"/>
    <col min="21" max="21" width="6.85546875" customWidth="1"/>
    <col min="22" max="22" width="7.7109375" customWidth="1"/>
    <col min="23" max="23" width="6.5703125" customWidth="1"/>
    <col min="24" max="24" width="7.5703125" customWidth="1"/>
    <col min="25" max="26" width="42.85546875" customWidth="1"/>
    <col min="27" max="33" width="11" customWidth="1"/>
  </cols>
  <sheetData>
    <row r="1" spans="1:33" ht="45" customHeight="1">
      <c r="A1" s="31" t="s">
        <v>9</v>
      </c>
      <c r="B1" s="66" t="str">
        <f>HYPERLINK("#rangeid=2086300674","Content Owner")</f>
        <v>Content Owner</v>
      </c>
      <c r="C1" s="67" t="str">
        <f>HYPERLINK("#rangeid=632369931","Video Owner")</f>
        <v>Video Owner</v>
      </c>
      <c r="D1" s="36" t="s">
        <v>87</v>
      </c>
      <c r="E1" s="37" t="s">
        <v>221</v>
      </c>
      <c r="F1" s="38" t="s">
        <v>223</v>
      </c>
      <c r="G1" s="31" t="s">
        <v>230</v>
      </c>
      <c r="H1" s="68" t="str">
        <f>HYPERLINK("#rangeid=906849400","Description")</f>
        <v>Description</v>
      </c>
      <c r="I1" s="41" t="s">
        <v>233</v>
      </c>
      <c r="J1" s="31" t="s">
        <v>234</v>
      </c>
      <c r="K1" s="42" t="s">
        <v>235</v>
      </c>
      <c r="L1" s="31" t="s">
        <v>236</v>
      </c>
      <c r="M1" s="31" t="s">
        <v>237</v>
      </c>
      <c r="N1" s="31" t="s">
        <v>238</v>
      </c>
      <c r="O1" s="31" t="s">
        <v>239</v>
      </c>
      <c r="P1" s="31" t="s">
        <v>240</v>
      </c>
      <c r="Q1" s="31" t="s">
        <v>241</v>
      </c>
      <c r="R1" s="43" t="s">
        <v>242</v>
      </c>
      <c r="S1" s="43" t="s">
        <v>243</v>
      </c>
      <c r="T1" s="43" t="s">
        <v>89</v>
      </c>
      <c r="U1" s="44" t="s">
        <v>244</v>
      </c>
      <c r="V1" s="45" t="s">
        <v>245</v>
      </c>
      <c r="W1" s="46" t="str">
        <f>HYPERLINK("#rangeid=120001109","Replay")</f>
        <v>Replay</v>
      </c>
      <c r="X1" s="47" t="s">
        <v>246</v>
      </c>
      <c r="Y1" s="48" t="s">
        <v>247</v>
      </c>
      <c r="Z1" s="49" t="s">
        <v>248</v>
      </c>
      <c r="AA1" s="50"/>
      <c r="AB1" s="50"/>
      <c r="AC1" s="50"/>
      <c r="AD1" s="50"/>
      <c r="AE1" s="50"/>
      <c r="AF1" s="50"/>
      <c r="AG1" s="50"/>
    </row>
    <row r="2" spans="1:33">
      <c r="A2" s="51"/>
      <c r="B2" s="69"/>
      <c r="C2" s="61"/>
      <c r="D2" s="54"/>
      <c r="E2" s="51"/>
      <c r="F2" s="55"/>
      <c r="G2" s="56"/>
      <c r="H2" s="57"/>
      <c r="I2" s="51"/>
      <c r="J2" s="51"/>
      <c r="K2" s="58"/>
      <c r="L2" s="59"/>
      <c r="M2" s="51"/>
      <c r="N2" s="51"/>
      <c r="O2" s="51"/>
      <c r="P2" s="100"/>
      <c r="Q2" s="37"/>
      <c r="R2" s="52"/>
      <c r="S2" s="52"/>
      <c r="T2" s="52"/>
      <c r="U2" s="61"/>
      <c r="V2" s="62"/>
      <c r="W2" s="63"/>
      <c r="X2" s="64"/>
      <c r="Y2" s="18"/>
      <c r="Z2" s="18"/>
      <c r="AA2" s="18"/>
      <c r="AB2" s="18"/>
    </row>
    <row r="3" spans="1:33">
      <c r="A3" s="110"/>
      <c r="B3" s="140"/>
      <c r="C3" s="141"/>
      <c r="D3" s="96"/>
      <c r="E3" s="111"/>
      <c r="F3" s="110"/>
      <c r="G3" s="110"/>
      <c r="H3" s="110"/>
      <c r="I3" s="111"/>
      <c r="J3" s="111"/>
      <c r="K3" s="111"/>
      <c r="L3" s="111"/>
      <c r="M3" s="142"/>
      <c r="N3" s="142"/>
      <c r="O3" s="111"/>
      <c r="P3" s="111"/>
      <c r="Q3" s="37"/>
      <c r="R3" s="113"/>
      <c r="S3" s="113"/>
      <c r="T3" s="113"/>
      <c r="U3" s="114"/>
      <c r="V3" s="115"/>
      <c r="W3" s="116"/>
      <c r="X3" s="117"/>
      <c r="Y3" s="111"/>
      <c r="Z3" s="111"/>
    </row>
    <row r="4" spans="1:33">
      <c r="A4" s="111"/>
      <c r="B4" s="111"/>
      <c r="C4" s="111"/>
      <c r="D4" s="111"/>
      <c r="E4" s="111"/>
      <c r="F4" s="111"/>
      <c r="G4" s="111"/>
      <c r="H4" s="111"/>
      <c r="I4" s="111"/>
      <c r="J4" s="111"/>
      <c r="K4" s="111"/>
      <c r="L4" s="111"/>
      <c r="M4" s="111"/>
      <c r="N4" s="111"/>
      <c r="O4" s="111"/>
      <c r="P4" s="111"/>
      <c r="Q4" s="139"/>
      <c r="R4" s="113"/>
      <c r="S4" s="113"/>
      <c r="T4" s="113"/>
      <c r="U4" s="114"/>
      <c r="V4" s="115"/>
      <c r="W4" s="116"/>
      <c r="X4" s="117"/>
      <c r="Y4" s="111"/>
      <c r="Z4" s="111"/>
    </row>
    <row r="5" spans="1:33">
      <c r="A5" s="111"/>
      <c r="B5" s="111"/>
      <c r="C5" s="111"/>
      <c r="D5" s="111"/>
      <c r="E5" s="111"/>
      <c r="F5" s="111"/>
      <c r="G5" s="111"/>
      <c r="H5" s="111"/>
      <c r="I5" s="111"/>
      <c r="J5" s="111"/>
      <c r="K5" s="111"/>
      <c r="L5" s="111"/>
      <c r="M5" s="111"/>
      <c r="N5" s="111"/>
      <c r="O5" s="111"/>
      <c r="P5" s="111"/>
      <c r="Q5" s="139"/>
      <c r="R5" s="113"/>
      <c r="S5" s="113"/>
      <c r="T5" s="113"/>
      <c r="U5" s="114"/>
      <c r="V5" s="115"/>
      <c r="W5" s="116"/>
      <c r="X5" s="117"/>
      <c r="Y5" s="111"/>
      <c r="Z5" s="111"/>
    </row>
    <row r="6" spans="1:33">
      <c r="A6" s="111"/>
      <c r="B6" s="111"/>
      <c r="C6" s="111"/>
      <c r="D6" s="111"/>
      <c r="E6" s="111"/>
      <c r="F6" s="111"/>
      <c r="G6" s="111"/>
      <c r="H6" s="111"/>
      <c r="I6" s="111"/>
      <c r="J6" s="111"/>
      <c r="K6" s="111"/>
      <c r="L6" s="111"/>
      <c r="M6" s="111"/>
      <c r="N6" s="111"/>
      <c r="O6" s="111"/>
      <c r="P6" s="111"/>
      <c r="Q6" s="139"/>
      <c r="R6" s="113"/>
      <c r="S6" s="113"/>
      <c r="T6" s="113"/>
      <c r="U6" s="114"/>
      <c r="V6" s="115"/>
      <c r="W6" s="116"/>
      <c r="X6" s="117"/>
      <c r="Y6" s="111"/>
      <c r="Z6" s="111"/>
    </row>
    <row r="7" spans="1:33">
      <c r="A7" s="111"/>
      <c r="B7" s="111"/>
      <c r="C7" s="111"/>
      <c r="D7" s="111"/>
      <c r="E7" s="111"/>
      <c r="F7" s="111"/>
      <c r="G7" s="111"/>
      <c r="H7" s="111"/>
      <c r="I7" s="111"/>
      <c r="J7" s="111"/>
      <c r="K7" s="111"/>
      <c r="L7" s="111"/>
      <c r="M7" s="111"/>
      <c r="N7" s="111"/>
      <c r="O7" s="111"/>
      <c r="P7" s="111"/>
      <c r="Q7" s="139"/>
      <c r="R7" s="113"/>
      <c r="S7" s="113"/>
      <c r="T7" s="113"/>
      <c r="U7" s="114"/>
      <c r="V7" s="115"/>
      <c r="W7" s="116"/>
      <c r="X7" s="117"/>
      <c r="Y7" s="111"/>
      <c r="Z7" s="111"/>
    </row>
    <row r="8" spans="1:33">
      <c r="A8" s="111"/>
      <c r="B8" s="111"/>
      <c r="C8" s="111"/>
      <c r="D8" s="111"/>
      <c r="E8" s="111"/>
      <c r="F8" s="111"/>
      <c r="G8" s="111"/>
      <c r="H8" s="111"/>
      <c r="I8" s="111"/>
      <c r="J8" s="111"/>
      <c r="K8" s="111"/>
      <c r="L8" s="111"/>
      <c r="M8" s="111"/>
      <c r="N8" s="111"/>
      <c r="O8" s="111"/>
      <c r="P8" s="111"/>
      <c r="Q8" s="139"/>
      <c r="R8" s="113"/>
      <c r="S8" s="113"/>
      <c r="T8" s="113"/>
      <c r="U8" s="114"/>
      <c r="V8" s="115"/>
      <c r="W8" s="116"/>
      <c r="X8" s="117"/>
      <c r="Y8" s="111"/>
      <c r="Z8" s="111"/>
    </row>
    <row r="9" spans="1:33">
      <c r="A9" s="111"/>
      <c r="B9" s="111"/>
      <c r="C9" s="111"/>
      <c r="D9" s="111"/>
      <c r="E9" s="111"/>
      <c r="F9" s="111"/>
      <c r="G9" s="111"/>
      <c r="H9" s="111"/>
      <c r="I9" s="111"/>
      <c r="J9" s="111"/>
      <c r="K9" s="111"/>
      <c r="L9" s="111"/>
      <c r="M9" s="111"/>
      <c r="N9" s="111"/>
      <c r="O9" s="111"/>
      <c r="P9" s="111"/>
      <c r="Q9" s="139"/>
      <c r="R9" s="113"/>
      <c r="S9" s="113"/>
      <c r="T9" s="113"/>
      <c r="U9" s="114"/>
      <c r="V9" s="115"/>
      <c r="W9" s="116"/>
      <c r="X9" s="117"/>
      <c r="Y9" s="111"/>
      <c r="Z9" s="111"/>
    </row>
    <row r="10" spans="1:33">
      <c r="A10" s="111"/>
      <c r="B10" s="111"/>
      <c r="C10" s="111"/>
      <c r="D10" s="111"/>
      <c r="E10" s="111"/>
      <c r="F10" s="111"/>
      <c r="G10" s="111"/>
      <c r="H10" s="111"/>
      <c r="I10" s="111"/>
      <c r="J10" s="111"/>
      <c r="K10" s="111"/>
      <c r="L10" s="111"/>
      <c r="M10" s="111"/>
      <c r="N10" s="111"/>
      <c r="O10" s="111"/>
      <c r="P10" s="111"/>
      <c r="Q10" s="139"/>
      <c r="R10" s="113"/>
      <c r="S10" s="113"/>
      <c r="T10" s="113"/>
      <c r="U10" s="114"/>
      <c r="V10" s="115"/>
      <c r="W10" s="116"/>
      <c r="X10" s="117"/>
      <c r="Y10" s="111"/>
      <c r="Z10" s="111"/>
    </row>
    <row r="11" spans="1:33">
      <c r="A11" s="111"/>
      <c r="B11" s="111"/>
      <c r="C11" s="111"/>
      <c r="D11" s="111"/>
      <c r="E11" s="111"/>
      <c r="F11" s="111"/>
      <c r="G11" s="111"/>
      <c r="H11" s="111"/>
      <c r="I11" s="111"/>
      <c r="J11" s="111"/>
      <c r="K11" s="111"/>
      <c r="L11" s="111"/>
      <c r="M11" s="111"/>
      <c r="N11" s="111"/>
      <c r="O11" s="111"/>
      <c r="P11" s="111"/>
      <c r="Q11" s="139"/>
      <c r="R11" s="113"/>
      <c r="S11" s="113"/>
      <c r="T11" s="113"/>
      <c r="U11" s="114"/>
      <c r="V11" s="115"/>
      <c r="W11" s="116"/>
      <c r="X11" s="117"/>
      <c r="Y11" s="111"/>
      <c r="Z11" s="111"/>
    </row>
  </sheetData>
  <pageMargins left="0.7" right="0.7" top="0.75" bottom="0.75" header="0.3" footer="0.3"/>
  <drawing r:id="rId1"/>
  <legacyDrawing r:id="rId2"/>
  <extLst>
    <ext xmlns:x14="http://schemas.microsoft.com/office/spreadsheetml/2009/9/main" uri="{CCE6A557-97BC-4b89-ADB6-D9C93CAAB3DF}">
      <x14:dataValidations xmlns:xm="http://schemas.microsoft.com/office/excel/2006/main" count="3">
        <x14:dataValidation type="list" allowBlank="1" xr:uid="{00000000-0002-0000-0A00-000000000000}">
          <x14:formula1>
            <xm:f>Fields!$F$2:$F$8</xm:f>
          </x14:formula1>
          <xm:sqref>C2:C3</xm:sqref>
        </x14:dataValidation>
        <x14:dataValidation type="list" allowBlank="1" xr:uid="{00000000-0002-0000-0A00-000001000000}">
          <x14:formula1>
            <xm:f>Fields!$D$2:$D$10</xm:f>
          </x14:formula1>
          <xm:sqref>B2:B3</xm:sqref>
        </x14:dataValidation>
        <x14:dataValidation type="list" allowBlank="1" xr:uid="{00000000-0002-0000-0A00-000002000000}">
          <x14:formula1>
            <xm:f>Fields!$A$2:$A$8</xm:f>
          </x14:formula1>
          <xm:sqref>D2:D3</xm:sqref>
        </x14:dataValidation>
      </x14:dataValidation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G148"/>
  <sheetViews>
    <sheetView workbookViewId="0"/>
  </sheetViews>
  <sheetFormatPr defaultColWidth="12.5703125" defaultRowHeight="15" customHeight="1"/>
  <cols>
    <col min="1" max="1" width="5.140625" customWidth="1"/>
    <col min="2" max="2" width="6.28515625" customWidth="1"/>
    <col min="3" max="3" width="5.42578125" customWidth="1"/>
    <col min="4" max="4" width="13.7109375" customWidth="1"/>
    <col min="5" max="5" width="3.140625" customWidth="1"/>
    <col min="6" max="6" width="24.42578125" customWidth="1"/>
    <col min="7" max="7" width="24.85546875" customWidth="1"/>
    <col min="8" max="8" width="12.42578125" hidden="1" customWidth="1"/>
    <col min="9" max="9" width="7.42578125" customWidth="1"/>
    <col min="10" max="10" width="7.42578125" hidden="1" customWidth="1"/>
    <col min="11" max="11" width="6.42578125" hidden="1" customWidth="1"/>
    <col min="12" max="12" width="8.42578125" hidden="1" customWidth="1"/>
    <col min="13" max="14" width="6.42578125" customWidth="1"/>
    <col min="15" max="15" width="7.42578125" hidden="1" customWidth="1"/>
    <col min="16" max="16" width="7.42578125" customWidth="1"/>
    <col min="17" max="17" width="18.28515625" customWidth="1"/>
    <col min="18" max="18" width="5.7109375" customWidth="1"/>
    <col min="19" max="19" width="5.5703125" customWidth="1"/>
    <col min="20" max="20" width="6.5703125" customWidth="1"/>
    <col min="21" max="21" width="6.85546875" customWidth="1"/>
    <col min="22" max="22" width="7.7109375" customWidth="1"/>
    <col min="23" max="23" width="6.5703125" customWidth="1"/>
    <col min="24" max="24" width="7.5703125" customWidth="1"/>
    <col min="25" max="26" width="42.85546875" customWidth="1"/>
    <col min="27" max="33" width="11" customWidth="1"/>
  </cols>
  <sheetData>
    <row r="1" spans="1:33" ht="45" customHeight="1">
      <c r="A1" s="144" t="s">
        <v>9</v>
      </c>
      <c r="B1" s="145" t="str">
        <f>HYPERLINK("#rangeid=2086300674","Content Owner")</f>
        <v>Content Owner</v>
      </c>
      <c r="C1" s="146" t="str">
        <f>HYPERLINK("#rangeid=632369931","Video Owner")</f>
        <v>Video Owner</v>
      </c>
      <c r="D1" s="147" t="s">
        <v>87</v>
      </c>
      <c r="E1" s="148" t="s">
        <v>221</v>
      </c>
      <c r="F1" s="149" t="s">
        <v>223</v>
      </c>
      <c r="G1" s="144" t="s">
        <v>230</v>
      </c>
      <c r="H1" s="150" t="str">
        <f>HYPERLINK("#rangeid=906849400","Description")</f>
        <v>Description</v>
      </c>
      <c r="I1" s="151" t="s">
        <v>233</v>
      </c>
      <c r="J1" s="144" t="s">
        <v>234</v>
      </c>
      <c r="K1" s="152" t="s">
        <v>235</v>
      </c>
      <c r="L1" s="144" t="s">
        <v>236</v>
      </c>
      <c r="M1" s="144" t="s">
        <v>237</v>
      </c>
      <c r="N1" s="144" t="s">
        <v>238</v>
      </c>
      <c r="O1" s="144" t="s">
        <v>239</v>
      </c>
      <c r="P1" s="144" t="s">
        <v>240</v>
      </c>
      <c r="Q1" s="144" t="s">
        <v>241</v>
      </c>
      <c r="R1" s="153" t="s">
        <v>242</v>
      </c>
      <c r="S1" s="153" t="s">
        <v>243</v>
      </c>
      <c r="T1" s="153" t="s">
        <v>89</v>
      </c>
      <c r="U1" s="153" t="s">
        <v>244</v>
      </c>
      <c r="V1" s="153" t="s">
        <v>245</v>
      </c>
      <c r="W1" s="154" t="str">
        <f>HYPERLINK("#rangeid=120001109","Replay")</f>
        <v>Replay</v>
      </c>
      <c r="X1" s="155" t="s">
        <v>246</v>
      </c>
      <c r="Y1" s="156" t="s">
        <v>247</v>
      </c>
      <c r="Z1" s="155" t="s">
        <v>248</v>
      </c>
      <c r="AA1" s="151"/>
      <c r="AB1" s="151"/>
      <c r="AC1" s="157"/>
      <c r="AD1" s="158"/>
      <c r="AE1" s="158"/>
      <c r="AF1" s="158"/>
      <c r="AG1" s="158"/>
    </row>
    <row r="2" spans="1:33">
      <c r="A2" s="159"/>
      <c r="B2" s="159"/>
      <c r="C2" s="159"/>
      <c r="D2" s="159"/>
      <c r="E2" s="159"/>
      <c r="F2" s="159"/>
      <c r="G2" s="159"/>
      <c r="H2" s="159"/>
      <c r="I2" s="159"/>
      <c r="J2" s="159"/>
      <c r="K2" s="159"/>
      <c r="L2" s="159"/>
      <c r="M2" s="159"/>
      <c r="N2" s="159"/>
      <c r="O2" s="159"/>
      <c r="P2" s="159"/>
      <c r="Q2" s="160"/>
      <c r="R2" s="161"/>
      <c r="S2" s="161"/>
      <c r="T2" s="161"/>
      <c r="U2" s="162"/>
      <c r="V2" s="163"/>
      <c r="W2" s="164"/>
      <c r="X2" s="165"/>
      <c r="Y2" s="159"/>
      <c r="Z2" s="159"/>
      <c r="AA2" s="4"/>
      <c r="AB2" s="4"/>
      <c r="AC2" s="4"/>
      <c r="AD2" s="4"/>
      <c r="AE2" s="4"/>
      <c r="AF2" s="4"/>
      <c r="AG2" s="4"/>
    </row>
    <row r="3" spans="1:33">
      <c r="A3" s="159">
        <v>589</v>
      </c>
      <c r="B3" s="167" t="s">
        <v>98</v>
      </c>
      <c r="C3" s="167"/>
      <c r="D3" s="167" t="s">
        <v>93</v>
      </c>
      <c r="E3" s="159" t="s">
        <v>1810</v>
      </c>
      <c r="F3" s="171" t="s">
        <v>1811</v>
      </c>
      <c r="G3" s="173"/>
      <c r="H3" s="173"/>
      <c r="I3" s="173"/>
      <c r="J3" s="173"/>
      <c r="K3" s="173"/>
      <c r="L3" s="173"/>
      <c r="M3" s="173"/>
      <c r="N3" s="173"/>
      <c r="O3" s="173"/>
      <c r="P3" s="173"/>
      <c r="Q3" s="173"/>
      <c r="R3" s="173"/>
      <c r="S3" s="173"/>
      <c r="T3" s="173"/>
      <c r="U3" s="173"/>
      <c r="V3" s="173"/>
      <c r="W3" s="173"/>
      <c r="X3" s="173"/>
      <c r="Y3" s="173"/>
      <c r="Z3" s="173"/>
      <c r="AA3" s="173"/>
      <c r="AB3" s="173"/>
      <c r="AC3" s="173"/>
      <c r="AD3" s="4"/>
      <c r="AE3" s="4"/>
      <c r="AF3" s="4"/>
      <c r="AG3" s="4"/>
    </row>
    <row r="4" spans="1:33">
      <c r="A4" s="167">
        <v>589.1</v>
      </c>
      <c r="B4" s="159"/>
      <c r="C4" s="159"/>
      <c r="D4" s="159"/>
      <c r="E4" s="159"/>
      <c r="F4" s="159"/>
      <c r="G4" s="175" t="s">
        <v>2158</v>
      </c>
      <c r="H4" s="176"/>
      <c r="I4" s="159"/>
      <c r="J4" s="159">
        <f>25*1000</f>
        <v>25000</v>
      </c>
      <c r="K4" s="177">
        <v>6.9039351851851852E-2</v>
      </c>
      <c r="L4" s="178" t="s">
        <v>1781</v>
      </c>
      <c r="M4" s="179">
        <v>0.20277777777777778</v>
      </c>
      <c r="N4" s="179">
        <v>0.27986111111111112</v>
      </c>
      <c r="O4" s="159"/>
      <c r="P4" s="167" t="s">
        <v>2159</v>
      </c>
      <c r="Q4" s="160" t="str">
        <f ca="1">HYPERLINK(IF(INT(A3)-A3=0,"",REPLACE(INDIRECT("MasterList!e"&amp;INT(A3)+1),25,8,"embed/")&amp;"?start="&amp;HOUR(M4)*3600+MINUTE(M4)*60+SECOND(M4)&amp;"&amp;end="&amp;HOUR(N4)*3600+MINUTE(N4)*60+SECOND(N4)&amp;"&amp;autoplay=1"))</f>
        <v/>
      </c>
      <c r="R4" s="181"/>
      <c r="S4" s="181"/>
      <c r="T4" s="181"/>
      <c r="U4" s="182"/>
      <c r="V4" s="183"/>
      <c r="W4" s="184"/>
      <c r="X4" s="165"/>
      <c r="Y4" s="159"/>
      <c r="Z4" s="159"/>
      <c r="AA4" s="167"/>
      <c r="AB4" s="167"/>
      <c r="AC4" s="4"/>
      <c r="AD4" s="4"/>
      <c r="AE4" s="4"/>
      <c r="AF4" s="4"/>
      <c r="AG4" s="4"/>
    </row>
    <row r="5" spans="1:33">
      <c r="A5" s="167">
        <v>589.20000000000005</v>
      </c>
      <c r="B5" s="159"/>
      <c r="C5" s="159"/>
      <c r="D5" s="159"/>
      <c r="E5" s="159"/>
      <c r="F5" s="159"/>
      <c r="G5" s="167" t="s">
        <v>2160</v>
      </c>
      <c r="H5" s="159"/>
      <c r="I5" s="159"/>
      <c r="J5" s="159"/>
      <c r="K5" s="159"/>
      <c r="L5" s="159"/>
      <c r="M5" s="179">
        <v>0.31527777777777777</v>
      </c>
      <c r="N5" s="179">
        <v>0.40694444444444444</v>
      </c>
      <c r="O5" s="159"/>
      <c r="P5" s="167" t="s">
        <v>2159</v>
      </c>
      <c r="Q5" s="159"/>
      <c r="R5" s="159"/>
      <c r="S5" s="159"/>
      <c r="T5" s="159"/>
      <c r="U5" s="159"/>
      <c r="V5" s="159"/>
      <c r="W5" s="159"/>
      <c r="X5" s="159"/>
      <c r="Y5" s="159"/>
      <c r="Z5" s="159"/>
      <c r="AA5" s="159"/>
      <c r="AB5" s="159"/>
      <c r="AC5" s="159"/>
      <c r="AD5" s="159"/>
      <c r="AE5" s="159"/>
      <c r="AF5" s="159"/>
      <c r="AG5" s="159"/>
    </row>
    <row r="6" spans="1:33">
      <c r="A6" s="167">
        <v>589.29999999999995</v>
      </c>
      <c r="B6" s="159"/>
      <c r="C6" s="159"/>
      <c r="D6" s="173"/>
      <c r="E6" s="159"/>
      <c r="F6" s="159"/>
      <c r="G6" s="167" t="s">
        <v>2161</v>
      </c>
      <c r="H6" s="159"/>
      <c r="I6" s="159"/>
      <c r="J6" s="159"/>
      <c r="K6" s="159"/>
      <c r="L6" s="159"/>
      <c r="M6" s="179">
        <v>0.40833333333333333</v>
      </c>
      <c r="N6" s="179">
        <v>0.4597222222222222</v>
      </c>
      <c r="O6" s="159"/>
      <c r="P6" s="167" t="s">
        <v>2159</v>
      </c>
      <c r="Q6" s="159"/>
      <c r="R6" s="159"/>
      <c r="S6" s="159"/>
      <c r="T6" s="159"/>
      <c r="U6" s="159"/>
      <c r="V6" s="159"/>
      <c r="W6" s="159"/>
      <c r="X6" s="159"/>
      <c r="Y6" s="159"/>
      <c r="Z6" s="159"/>
      <c r="AA6" s="159"/>
      <c r="AB6" s="159"/>
      <c r="AC6" s="159"/>
      <c r="AD6" s="159"/>
      <c r="AE6" s="159"/>
      <c r="AF6" s="159"/>
      <c r="AG6" s="159"/>
    </row>
    <row r="7" spans="1:33">
      <c r="A7" s="167">
        <v>589.4</v>
      </c>
      <c r="B7" s="159"/>
      <c r="C7" s="159"/>
      <c r="D7" s="159"/>
      <c r="E7" s="159"/>
      <c r="F7" s="159"/>
      <c r="G7" s="167" t="s">
        <v>2162</v>
      </c>
      <c r="H7" s="159"/>
      <c r="I7" s="159"/>
      <c r="J7" s="159"/>
      <c r="K7" s="159"/>
      <c r="L7" s="159"/>
      <c r="M7" s="179">
        <v>0.48472222222222222</v>
      </c>
      <c r="N7" s="179">
        <v>0.57222222222222219</v>
      </c>
      <c r="O7" s="159"/>
      <c r="P7" s="167" t="s">
        <v>2159</v>
      </c>
      <c r="Q7" s="159"/>
      <c r="R7" s="159"/>
      <c r="S7" s="159"/>
      <c r="T7" s="159"/>
      <c r="U7" s="159"/>
      <c r="V7" s="159"/>
      <c r="W7" s="159"/>
      <c r="X7" s="159"/>
      <c r="Y7" s="159"/>
      <c r="Z7" s="159"/>
      <c r="AA7" s="159"/>
      <c r="AB7" s="159"/>
      <c r="AC7" s="159"/>
      <c r="AD7" s="159"/>
      <c r="AE7" s="159"/>
      <c r="AF7" s="159"/>
      <c r="AG7" s="159"/>
    </row>
    <row r="8" spans="1:33">
      <c r="A8" s="167">
        <v>589.5</v>
      </c>
      <c r="B8" s="159"/>
      <c r="C8" s="159"/>
      <c r="D8" s="159"/>
      <c r="E8" s="159"/>
      <c r="F8" s="159"/>
      <c r="G8" s="167" t="s">
        <v>2163</v>
      </c>
      <c r="H8" s="159"/>
      <c r="I8" s="159"/>
      <c r="J8" s="159"/>
      <c r="K8" s="159"/>
      <c r="L8" s="159"/>
      <c r="M8" s="179">
        <v>0.57291666666666663</v>
      </c>
      <c r="N8" s="179">
        <v>0.73263888888888884</v>
      </c>
      <c r="O8" s="159"/>
      <c r="P8" s="167" t="s">
        <v>2159</v>
      </c>
      <c r="Q8" s="159"/>
      <c r="R8" s="159"/>
      <c r="S8" s="159"/>
      <c r="T8" s="159"/>
      <c r="U8" s="159"/>
      <c r="V8" s="159"/>
      <c r="W8" s="159"/>
      <c r="X8" s="159"/>
      <c r="Y8" s="159"/>
      <c r="Z8" s="159"/>
      <c r="AA8" s="159"/>
      <c r="AB8" s="159"/>
      <c r="AC8" s="159"/>
      <c r="AD8" s="159"/>
      <c r="AE8" s="159"/>
      <c r="AF8" s="159"/>
      <c r="AG8" s="159"/>
    </row>
    <row r="9" spans="1:33">
      <c r="A9" s="167">
        <v>589.6</v>
      </c>
      <c r="B9" s="159"/>
      <c r="C9" s="159"/>
      <c r="D9" s="159"/>
      <c r="E9" s="159"/>
      <c r="F9" s="159"/>
      <c r="G9" s="167" t="s">
        <v>2164</v>
      </c>
      <c r="H9" s="159"/>
      <c r="I9" s="159"/>
      <c r="J9" s="159"/>
      <c r="K9" s="159"/>
      <c r="L9" s="159"/>
      <c r="M9" s="185">
        <v>1.1875</v>
      </c>
      <c r="N9" s="185">
        <v>1.2652777777777777</v>
      </c>
      <c r="O9" s="159"/>
      <c r="P9" s="167" t="s">
        <v>2165</v>
      </c>
      <c r="Q9" s="159"/>
      <c r="R9" s="159"/>
      <c r="S9" s="159"/>
      <c r="T9" s="159"/>
      <c r="U9" s="159"/>
      <c r="V9" s="159"/>
      <c r="W9" s="159"/>
      <c r="X9" s="159"/>
      <c r="Y9" s="159"/>
      <c r="Z9" s="159"/>
      <c r="AA9" s="159"/>
      <c r="AB9" s="159"/>
      <c r="AC9" s="159"/>
      <c r="AD9" s="159"/>
      <c r="AE9" s="159"/>
      <c r="AF9" s="159"/>
      <c r="AG9" s="159"/>
    </row>
    <row r="10" spans="1:33">
      <c r="A10" s="167">
        <v>589.70000000000005</v>
      </c>
      <c r="B10" s="159"/>
      <c r="C10" s="159"/>
      <c r="D10" s="167"/>
      <c r="E10" s="159"/>
      <c r="F10" s="159"/>
      <c r="G10" s="186" t="s">
        <v>2166</v>
      </c>
      <c r="H10" s="159"/>
      <c r="I10" s="167"/>
      <c r="J10" s="159"/>
      <c r="K10" s="159"/>
      <c r="L10" s="159"/>
      <c r="M10" s="185">
        <v>1.3819444444444444</v>
      </c>
      <c r="N10" s="185">
        <v>1.5381944444444444</v>
      </c>
      <c r="O10" s="159"/>
      <c r="P10" s="167" t="s">
        <v>2165</v>
      </c>
      <c r="Q10" s="160"/>
      <c r="R10" s="181"/>
      <c r="S10" s="181"/>
      <c r="T10" s="181"/>
      <c r="U10" s="182"/>
      <c r="V10" s="183"/>
      <c r="W10" s="184"/>
      <c r="X10" s="165"/>
      <c r="Y10" s="159"/>
      <c r="Z10" s="159"/>
      <c r="AA10" s="4"/>
      <c r="AB10" s="4"/>
      <c r="AC10" s="4"/>
      <c r="AD10" s="4"/>
      <c r="AE10" s="4"/>
      <c r="AF10" s="4"/>
      <c r="AG10" s="4"/>
    </row>
    <row r="11" spans="1:33">
      <c r="A11" s="167">
        <v>589.79999999999995</v>
      </c>
      <c r="B11" s="159"/>
      <c r="C11" s="159"/>
      <c r="D11" s="167"/>
      <c r="E11" s="159"/>
      <c r="F11" s="159"/>
      <c r="G11" s="186" t="s">
        <v>2167</v>
      </c>
      <c r="H11" s="159"/>
      <c r="I11" s="167"/>
      <c r="J11" s="159"/>
      <c r="K11" s="159"/>
      <c r="L11" s="159"/>
      <c r="M11" s="185">
        <v>1.6458333333333333</v>
      </c>
      <c r="N11" s="185">
        <v>1.7333333333333334</v>
      </c>
      <c r="O11" s="159"/>
      <c r="P11" s="167" t="s">
        <v>2165</v>
      </c>
      <c r="Q11" s="160"/>
      <c r="R11" s="181"/>
      <c r="S11" s="181"/>
      <c r="T11" s="181"/>
      <c r="U11" s="182"/>
      <c r="V11" s="183"/>
      <c r="W11" s="184"/>
      <c r="X11" s="165"/>
      <c r="Y11" s="159"/>
      <c r="Z11" s="159"/>
      <c r="AA11" s="4"/>
      <c r="AB11" s="4"/>
      <c r="AC11" s="4"/>
      <c r="AD11" s="4"/>
      <c r="AE11" s="4"/>
      <c r="AF11" s="4"/>
      <c r="AG11" s="4"/>
    </row>
    <row r="12" spans="1:33">
      <c r="A12" s="159"/>
      <c r="B12" s="159"/>
      <c r="C12" s="159"/>
      <c r="D12" s="167"/>
      <c r="E12" s="159"/>
      <c r="F12" s="159"/>
      <c r="G12" s="186"/>
      <c r="H12" s="159"/>
      <c r="I12" s="167"/>
      <c r="J12" s="159"/>
      <c r="K12" s="159"/>
      <c r="L12" s="159"/>
      <c r="M12" s="159"/>
      <c r="N12" s="159"/>
      <c r="O12" s="159"/>
      <c r="P12" s="159"/>
      <c r="Q12" s="160"/>
      <c r="R12" s="181"/>
      <c r="S12" s="181"/>
      <c r="T12" s="181"/>
      <c r="U12" s="182"/>
      <c r="V12" s="183"/>
      <c r="W12" s="184"/>
      <c r="X12" s="165"/>
      <c r="Y12" s="159"/>
      <c r="Z12" s="159"/>
      <c r="AA12" s="4"/>
      <c r="AB12" s="4"/>
      <c r="AC12" s="4"/>
      <c r="AD12" s="4"/>
      <c r="AE12" s="4"/>
      <c r="AF12" s="4"/>
      <c r="AG12" s="4"/>
    </row>
    <row r="13" spans="1:33">
      <c r="A13" s="159"/>
      <c r="B13" s="159"/>
      <c r="C13" s="159"/>
      <c r="D13" s="167"/>
      <c r="E13" s="159"/>
      <c r="F13" s="159"/>
      <c r="G13" s="186"/>
      <c r="H13" s="159"/>
      <c r="I13" s="167"/>
      <c r="J13" s="159"/>
      <c r="K13" s="159"/>
      <c r="L13" s="159"/>
      <c r="M13" s="159"/>
      <c r="N13" s="159"/>
      <c r="O13" s="159"/>
      <c r="P13" s="159"/>
      <c r="Q13" s="160"/>
      <c r="R13" s="181"/>
      <c r="S13" s="181"/>
      <c r="T13" s="181"/>
      <c r="U13" s="182"/>
      <c r="V13" s="183"/>
      <c r="W13" s="184"/>
      <c r="X13" s="165"/>
      <c r="Y13" s="159"/>
      <c r="Z13" s="159"/>
      <c r="AA13" s="4"/>
      <c r="AB13" s="4"/>
      <c r="AC13" s="4"/>
      <c r="AD13" s="4"/>
      <c r="AE13" s="4"/>
      <c r="AF13" s="4"/>
      <c r="AG13" s="4"/>
    </row>
    <row r="14" spans="1:33">
      <c r="A14" s="159"/>
      <c r="B14" s="159"/>
      <c r="C14" s="159"/>
      <c r="D14" s="167" t="s">
        <v>2168</v>
      </c>
      <c r="E14" s="159"/>
      <c r="F14" s="159"/>
      <c r="G14" s="186"/>
      <c r="H14" s="159"/>
      <c r="I14" s="167"/>
      <c r="J14" s="159"/>
      <c r="K14" s="159"/>
      <c r="L14" s="159"/>
      <c r="M14" s="159"/>
      <c r="N14" s="159"/>
      <c r="O14" s="159"/>
      <c r="P14" s="159"/>
      <c r="Q14" s="160"/>
      <c r="R14" s="161"/>
      <c r="S14" s="161"/>
      <c r="T14" s="161"/>
      <c r="U14" s="162"/>
      <c r="V14" s="163"/>
      <c r="W14" s="164"/>
      <c r="X14" s="165"/>
      <c r="Y14" s="159"/>
      <c r="Z14" s="159"/>
      <c r="AA14" s="4"/>
      <c r="AB14" s="4"/>
      <c r="AC14" s="4"/>
      <c r="AD14" s="4"/>
      <c r="AE14" s="4"/>
      <c r="AF14" s="4"/>
      <c r="AG14" s="4"/>
    </row>
    <row r="15" spans="1:33">
      <c r="A15" s="159"/>
      <c r="B15" s="159"/>
      <c r="C15" s="159"/>
      <c r="D15" s="159"/>
      <c r="E15" s="159"/>
      <c r="F15" s="159"/>
      <c r="G15" s="159"/>
      <c r="H15" s="159"/>
      <c r="I15" s="159"/>
      <c r="J15" s="159"/>
      <c r="K15" s="159"/>
      <c r="L15" s="159"/>
      <c r="M15" s="159"/>
      <c r="N15" s="159"/>
      <c r="O15" s="159"/>
      <c r="P15" s="159"/>
      <c r="Q15" s="160"/>
      <c r="R15" s="161"/>
      <c r="S15" s="161"/>
      <c r="T15" s="161"/>
      <c r="U15" s="162"/>
      <c r="V15" s="163"/>
      <c r="W15" s="164"/>
      <c r="X15" s="165"/>
      <c r="Y15" s="159"/>
      <c r="Z15" s="159"/>
      <c r="AA15" s="4"/>
      <c r="AB15" s="4"/>
      <c r="AC15" s="4"/>
      <c r="AD15" s="4"/>
      <c r="AE15" s="4"/>
      <c r="AF15" s="4"/>
      <c r="AG15" s="4"/>
    </row>
    <row r="16" spans="1:33">
      <c r="A16" s="159">
        <v>739</v>
      </c>
      <c r="B16" s="187" t="s">
        <v>98</v>
      </c>
      <c r="C16" s="182"/>
      <c r="D16" s="167" t="s">
        <v>120</v>
      </c>
      <c r="E16" s="159" t="s">
        <v>2117</v>
      </c>
      <c r="F16" s="171" t="s">
        <v>2118</v>
      </c>
      <c r="G16" s="188"/>
      <c r="H16" s="176"/>
      <c r="I16" s="159"/>
      <c r="J16" s="159">
        <f>14*1000</f>
        <v>14000</v>
      </c>
      <c r="K16" s="177">
        <v>3.953703703703703E-2</v>
      </c>
      <c r="L16" s="178" t="s">
        <v>2042</v>
      </c>
      <c r="Q16" s="160" t="str">
        <f ca="1">HYPERLINK(IF(INT(A16)-A16=0,"",REPLACE(INDIRECT("MasterList!e"&amp;INT(A16)+1),25,8,"embed/")&amp;"?start="&amp;HOUR(M17)*3600+MINUTE(M17)*60+SECOND(M17)&amp;"&amp;end="&amp;HOUR(N17)*3600+MINUTE(N17)*60+SECOND(N17)&amp;"&amp;autoplay=1"))</f>
        <v/>
      </c>
      <c r="R16" s="181"/>
      <c r="S16" s="181"/>
      <c r="T16" s="181"/>
      <c r="U16" s="182"/>
      <c r="V16" s="183"/>
      <c r="W16" s="184"/>
      <c r="X16" s="165"/>
      <c r="Y16" s="189"/>
      <c r="Z16" s="189"/>
      <c r="AA16" s="189"/>
      <c r="AB16" s="189"/>
      <c r="AC16" s="4"/>
      <c r="AD16" s="4"/>
      <c r="AE16" s="4"/>
      <c r="AF16" s="4"/>
      <c r="AG16" s="4"/>
    </row>
    <row r="17" spans="1:33">
      <c r="A17" s="167">
        <v>739.1</v>
      </c>
      <c r="B17" s="159"/>
      <c r="C17" s="159"/>
      <c r="D17" s="159"/>
      <c r="E17" s="159"/>
      <c r="F17" s="167" t="s">
        <v>2169</v>
      </c>
      <c r="G17" s="159"/>
      <c r="H17" s="159"/>
      <c r="I17" s="159"/>
      <c r="J17" s="159"/>
      <c r="K17" s="159"/>
      <c r="L17" s="159"/>
      <c r="M17" s="179">
        <v>0.76388888888888884</v>
      </c>
      <c r="N17" s="179">
        <v>0.85972222222222228</v>
      </c>
      <c r="O17" s="159"/>
      <c r="P17" s="167" t="s">
        <v>2170</v>
      </c>
      <c r="Q17" s="160"/>
      <c r="R17" s="161"/>
      <c r="S17" s="161"/>
      <c r="T17" s="161"/>
      <c r="U17" s="162"/>
      <c r="V17" s="163"/>
      <c r="W17" s="164"/>
      <c r="X17" s="165"/>
      <c r="Y17" s="159"/>
      <c r="Z17" s="159"/>
      <c r="AA17" s="4"/>
      <c r="AB17" s="4"/>
      <c r="AC17" s="4"/>
      <c r="AD17" s="4"/>
      <c r="AE17" s="4"/>
      <c r="AF17" s="4"/>
      <c r="AG17" s="4"/>
    </row>
    <row r="18" spans="1:33">
      <c r="A18" s="167">
        <v>739.2</v>
      </c>
      <c r="B18" s="159"/>
      <c r="C18" s="159"/>
      <c r="D18" s="159"/>
      <c r="E18" s="159"/>
      <c r="F18" s="3" t="s">
        <v>2171</v>
      </c>
      <c r="J18" s="159"/>
      <c r="K18" s="159"/>
      <c r="L18" s="159"/>
      <c r="M18" s="179">
        <v>0.86041666666666672</v>
      </c>
      <c r="N18" s="179">
        <v>0.98472222222222228</v>
      </c>
      <c r="O18" s="159"/>
      <c r="P18" s="167" t="s">
        <v>2170</v>
      </c>
      <c r="Q18" s="160"/>
      <c r="R18" s="161"/>
      <c r="S18" s="161"/>
      <c r="T18" s="161"/>
      <c r="U18" s="162"/>
      <c r="V18" s="163"/>
      <c r="W18" s="164"/>
      <c r="X18" s="165"/>
      <c r="Y18" s="159"/>
      <c r="Z18" s="159"/>
      <c r="AA18" s="4"/>
      <c r="AB18" s="4"/>
      <c r="AC18" s="4"/>
      <c r="AD18" s="4"/>
      <c r="AE18" s="4"/>
      <c r="AF18" s="4"/>
      <c r="AG18" s="4"/>
    </row>
    <row r="19" spans="1:33">
      <c r="A19" s="167">
        <v>739.3</v>
      </c>
      <c r="B19" s="159"/>
      <c r="C19" s="159"/>
      <c r="D19" s="159"/>
      <c r="E19" s="159"/>
      <c r="F19" s="167" t="s">
        <v>2172</v>
      </c>
      <c r="G19" s="185">
        <v>1.0777777777777777</v>
      </c>
      <c r="H19" s="159"/>
      <c r="I19" s="185">
        <v>1.2708333333333333</v>
      </c>
      <c r="J19" s="159"/>
      <c r="K19" s="159"/>
      <c r="L19" s="159"/>
      <c r="M19" s="179"/>
      <c r="N19" s="179"/>
      <c r="O19" s="159"/>
      <c r="P19" s="167" t="s">
        <v>2170</v>
      </c>
      <c r="Q19" s="160"/>
      <c r="R19" s="161"/>
      <c r="S19" s="161"/>
      <c r="T19" s="161"/>
      <c r="U19" s="162"/>
      <c r="V19" s="163"/>
      <c r="W19" s="164"/>
      <c r="X19" s="165"/>
      <c r="Y19" s="159"/>
      <c r="Z19" s="159"/>
      <c r="AA19" s="4"/>
      <c r="AB19" s="4"/>
      <c r="AC19" s="4"/>
      <c r="AD19" s="4"/>
      <c r="AE19" s="4"/>
      <c r="AF19" s="4"/>
      <c r="AG19" s="4"/>
    </row>
    <row r="20" spans="1:33">
      <c r="A20" s="167">
        <v>739.4</v>
      </c>
      <c r="B20" s="159"/>
      <c r="C20" s="159"/>
      <c r="D20" s="159"/>
      <c r="E20" s="159"/>
      <c r="F20" s="167" t="s">
        <v>2173</v>
      </c>
      <c r="G20" s="185">
        <v>1.2715277777777778</v>
      </c>
      <c r="H20" s="159"/>
      <c r="I20" s="185">
        <v>1.3909722222222223</v>
      </c>
      <c r="J20" s="159"/>
      <c r="K20" s="159"/>
      <c r="L20" s="159"/>
      <c r="M20" s="179"/>
      <c r="N20" s="179"/>
      <c r="O20" s="159"/>
      <c r="P20" s="167" t="s">
        <v>2170</v>
      </c>
      <c r="Q20" s="160"/>
      <c r="R20" s="161"/>
      <c r="S20" s="161"/>
      <c r="T20" s="161"/>
      <c r="U20" s="162"/>
      <c r="V20" s="163"/>
      <c r="W20" s="164"/>
      <c r="X20" s="165"/>
      <c r="Y20" s="159"/>
      <c r="Z20" s="159"/>
      <c r="AA20" s="4"/>
      <c r="AB20" s="4"/>
      <c r="AC20" s="4"/>
      <c r="AD20" s="4"/>
      <c r="AE20" s="4"/>
      <c r="AF20" s="4"/>
      <c r="AG20" s="4"/>
    </row>
    <row r="21" spans="1:33">
      <c r="B21" s="159"/>
      <c r="C21" s="159"/>
      <c r="D21" s="159"/>
      <c r="E21" s="159"/>
      <c r="F21" s="159"/>
      <c r="J21" s="159"/>
      <c r="K21" s="159"/>
      <c r="L21" s="159"/>
      <c r="M21" s="179"/>
      <c r="N21" s="179"/>
      <c r="O21" s="159"/>
      <c r="P21" s="159"/>
      <c r="Q21" s="160"/>
      <c r="R21" s="161"/>
      <c r="S21" s="161"/>
      <c r="T21" s="161"/>
      <c r="U21" s="162"/>
      <c r="V21" s="163"/>
      <c r="W21" s="164"/>
      <c r="X21" s="165"/>
      <c r="Y21" s="159"/>
      <c r="Z21" s="159"/>
      <c r="AA21" s="4"/>
      <c r="AB21" s="4"/>
      <c r="AC21" s="4"/>
      <c r="AD21" s="4"/>
      <c r="AE21" s="4"/>
      <c r="AF21" s="4"/>
      <c r="AG21" s="4"/>
    </row>
    <row r="22" spans="1:33">
      <c r="A22" s="159"/>
      <c r="B22" s="159"/>
      <c r="C22" s="159"/>
      <c r="D22" s="159"/>
      <c r="E22" s="159"/>
      <c r="F22" s="159"/>
      <c r="J22" s="159"/>
      <c r="K22" s="159"/>
      <c r="L22" s="159"/>
      <c r="M22" s="179"/>
      <c r="N22" s="179"/>
      <c r="O22" s="159"/>
      <c r="P22" s="159"/>
      <c r="Q22" s="160"/>
      <c r="R22" s="161"/>
      <c r="S22" s="161"/>
      <c r="T22" s="161"/>
      <c r="U22" s="162"/>
      <c r="V22" s="163"/>
      <c r="W22" s="164"/>
      <c r="X22" s="165"/>
      <c r="Y22" s="159"/>
      <c r="Z22" s="159"/>
      <c r="AA22" s="4"/>
      <c r="AB22" s="4"/>
      <c r="AC22" s="4"/>
      <c r="AD22" s="4"/>
      <c r="AE22" s="4"/>
      <c r="AF22" s="4"/>
      <c r="AG22" s="4"/>
    </row>
    <row r="23" spans="1:33">
      <c r="A23" s="159"/>
      <c r="B23" s="159"/>
      <c r="C23" s="159"/>
      <c r="D23" s="159"/>
      <c r="E23" s="159"/>
      <c r="F23" s="159"/>
      <c r="G23" s="159"/>
      <c r="H23" s="159"/>
      <c r="I23" s="159"/>
      <c r="J23" s="159"/>
      <c r="K23" s="159"/>
      <c r="L23" s="159"/>
      <c r="M23" s="179"/>
      <c r="N23" s="179"/>
      <c r="O23" s="159"/>
      <c r="P23" s="159"/>
      <c r="Q23" s="160"/>
      <c r="R23" s="161"/>
      <c r="S23" s="161"/>
      <c r="T23" s="161"/>
      <c r="U23" s="162"/>
      <c r="V23" s="163"/>
      <c r="W23" s="164"/>
      <c r="X23" s="165"/>
      <c r="Y23" s="159"/>
      <c r="Z23" s="159"/>
      <c r="AA23" s="4"/>
      <c r="AB23" s="4"/>
      <c r="AC23" s="4"/>
      <c r="AD23" s="4"/>
      <c r="AE23" s="4"/>
      <c r="AF23" s="4"/>
      <c r="AG23" s="4"/>
    </row>
    <row r="24" spans="1:33">
      <c r="A24" s="159"/>
      <c r="B24" s="159"/>
      <c r="C24" s="159"/>
      <c r="D24" s="159"/>
      <c r="E24" s="159"/>
      <c r="F24" s="159"/>
      <c r="G24" s="159"/>
      <c r="H24" s="159"/>
      <c r="I24" s="159"/>
      <c r="J24" s="159"/>
      <c r="K24" s="159"/>
      <c r="L24" s="159"/>
      <c r="M24" s="179"/>
      <c r="N24" s="179"/>
      <c r="O24" s="159"/>
      <c r="P24" s="159"/>
      <c r="Q24" s="160"/>
      <c r="R24" s="161"/>
      <c r="S24" s="161"/>
      <c r="T24" s="161"/>
      <c r="U24" s="162"/>
      <c r="V24" s="163"/>
      <c r="W24" s="164"/>
      <c r="X24" s="165"/>
      <c r="Y24" s="159"/>
      <c r="Z24" s="159"/>
      <c r="AA24" s="4"/>
      <c r="AB24" s="4"/>
      <c r="AC24" s="4"/>
      <c r="AD24" s="4"/>
      <c r="AE24" s="4"/>
      <c r="AF24" s="4"/>
      <c r="AG24" s="4"/>
    </row>
    <row r="25" spans="1:33">
      <c r="A25" s="159"/>
      <c r="B25" s="159"/>
      <c r="C25" s="159"/>
      <c r="D25" s="159"/>
      <c r="E25" s="159"/>
      <c r="F25" s="190"/>
      <c r="G25" s="159"/>
      <c r="H25" s="159"/>
      <c r="I25" s="159"/>
      <c r="J25" s="159"/>
      <c r="K25" s="159"/>
      <c r="L25" s="159"/>
      <c r="M25" s="179"/>
      <c r="N25" s="179"/>
      <c r="O25" s="159"/>
      <c r="P25" s="159"/>
      <c r="Q25" s="160"/>
      <c r="R25" s="161"/>
      <c r="S25" s="161"/>
      <c r="T25" s="161"/>
      <c r="U25" s="162"/>
      <c r="V25" s="163"/>
      <c r="W25" s="164"/>
      <c r="X25" s="165"/>
      <c r="Y25" s="159"/>
      <c r="Z25" s="159"/>
      <c r="AA25" s="4"/>
      <c r="AB25" s="4"/>
      <c r="AC25" s="4"/>
      <c r="AD25" s="4"/>
      <c r="AE25" s="4"/>
      <c r="AF25" s="4"/>
      <c r="AG25" s="4"/>
    </row>
    <row r="26" spans="1:33">
      <c r="A26" s="159"/>
      <c r="B26" s="159"/>
      <c r="C26" s="159"/>
      <c r="D26" s="159"/>
      <c r="E26" s="159"/>
      <c r="F26" s="173"/>
      <c r="G26" s="159"/>
      <c r="H26" s="159"/>
      <c r="I26" s="159"/>
      <c r="J26" s="159"/>
      <c r="K26" s="159"/>
      <c r="L26" s="159"/>
      <c r="M26" s="159"/>
      <c r="N26" s="159"/>
      <c r="O26" s="159"/>
      <c r="P26" s="159"/>
      <c r="Q26" s="160"/>
      <c r="R26" s="161"/>
      <c r="S26" s="161"/>
      <c r="T26" s="161"/>
      <c r="U26" s="162"/>
      <c r="V26" s="163"/>
      <c r="W26" s="164"/>
      <c r="X26" s="165"/>
      <c r="Y26" s="159"/>
      <c r="Z26" s="159"/>
      <c r="AA26" s="4"/>
      <c r="AB26" s="4"/>
      <c r="AC26" s="4"/>
      <c r="AD26" s="4"/>
      <c r="AE26" s="4"/>
      <c r="AF26" s="4"/>
      <c r="AG26" s="4"/>
    </row>
    <row r="27" spans="1:33">
      <c r="A27" s="159"/>
      <c r="B27" s="159"/>
      <c r="C27" s="159"/>
      <c r="D27" s="159"/>
      <c r="E27" s="159"/>
      <c r="F27" s="190"/>
      <c r="G27" s="159"/>
      <c r="H27" s="159"/>
      <c r="I27" s="159"/>
      <c r="J27" s="159"/>
      <c r="K27" s="159"/>
      <c r="L27" s="159"/>
      <c r="M27" s="159"/>
      <c r="N27" s="159"/>
      <c r="O27" s="159"/>
      <c r="P27" s="159"/>
      <c r="Q27" s="160"/>
      <c r="R27" s="161"/>
      <c r="S27" s="161"/>
      <c r="T27" s="161"/>
      <c r="U27" s="162"/>
      <c r="V27" s="163"/>
      <c r="W27" s="164"/>
      <c r="X27" s="165"/>
      <c r="Y27" s="159"/>
      <c r="Z27" s="159"/>
      <c r="AA27" s="4"/>
      <c r="AB27" s="4"/>
      <c r="AC27" s="4"/>
      <c r="AD27" s="4"/>
      <c r="AE27" s="4"/>
      <c r="AF27" s="4"/>
      <c r="AG27" s="4"/>
    </row>
    <row r="28" spans="1:33">
      <c r="A28" s="159"/>
      <c r="B28" s="159"/>
      <c r="C28" s="159"/>
      <c r="D28" s="159"/>
      <c r="E28" s="159"/>
      <c r="F28" s="173"/>
      <c r="G28" s="159"/>
      <c r="H28" s="159"/>
      <c r="I28" s="159"/>
      <c r="J28" s="159"/>
      <c r="K28" s="159"/>
      <c r="L28" s="159"/>
      <c r="M28" s="159"/>
      <c r="N28" s="159"/>
      <c r="O28" s="159"/>
      <c r="P28" s="159"/>
      <c r="Q28" s="160"/>
      <c r="R28" s="161"/>
      <c r="S28" s="161"/>
      <c r="T28" s="161"/>
      <c r="U28" s="162"/>
      <c r="V28" s="163"/>
      <c r="W28" s="164"/>
      <c r="X28" s="165"/>
      <c r="Y28" s="159"/>
      <c r="Z28" s="159"/>
      <c r="AA28" s="4"/>
      <c r="AB28" s="4"/>
      <c r="AC28" s="4"/>
      <c r="AD28" s="4"/>
      <c r="AE28" s="4"/>
      <c r="AF28" s="4"/>
      <c r="AG28" s="4"/>
    </row>
    <row r="29" spans="1:33">
      <c r="A29" s="159"/>
      <c r="B29" s="159"/>
      <c r="C29" s="159"/>
      <c r="D29" s="159"/>
      <c r="E29" s="159"/>
      <c r="F29" s="190"/>
      <c r="G29" s="159"/>
      <c r="H29" s="159"/>
      <c r="I29" s="159"/>
      <c r="J29" s="159"/>
      <c r="K29" s="159"/>
      <c r="L29" s="159"/>
      <c r="M29" s="159"/>
      <c r="N29" s="159"/>
      <c r="O29" s="159"/>
      <c r="P29" s="159"/>
      <c r="Q29" s="160"/>
      <c r="R29" s="161"/>
      <c r="S29" s="161"/>
      <c r="T29" s="161"/>
      <c r="U29" s="162"/>
      <c r="V29" s="163"/>
      <c r="W29" s="164"/>
      <c r="X29" s="165"/>
      <c r="Y29" s="159"/>
      <c r="Z29" s="159"/>
      <c r="AA29" s="4"/>
      <c r="AB29" s="4"/>
      <c r="AC29" s="4"/>
      <c r="AD29" s="4"/>
      <c r="AE29" s="4"/>
      <c r="AF29" s="4"/>
      <c r="AG29" s="4"/>
    </row>
    <row r="30" spans="1:33">
      <c r="A30" s="159"/>
      <c r="B30" s="159"/>
      <c r="C30" s="159"/>
      <c r="D30" s="159"/>
      <c r="E30" s="159"/>
      <c r="F30" s="190"/>
      <c r="G30" s="159"/>
      <c r="H30" s="159"/>
      <c r="I30" s="159"/>
      <c r="J30" s="159"/>
      <c r="K30" s="159"/>
      <c r="L30" s="159"/>
      <c r="M30" s="159"/>
      <c r="N30" s="159"/>
      <c r="O30" s="159"/>
      <c r="P30" s="159"/>
      <c r="Q30" s="160"/>
      <c r="R30" s="161"/>
      <c r="S30" s="161"/>
      <c r="T30" s="161"/>
      <c r="U30" s="162"/>
      <c r="V30" s="163"/>
      <c r="W30" s="164"/>
      <c r="X30" s="165"/>
      <c r="Y30" s="159"/>
      <c r="Z30" s="159"/>
      <c r="AA30" s="4"/>
      <c r="AB30" s="4"/>
      <c r="AC30" s="4"/>
      <c r="AD30" s="4"/>
      <c r="AE30" s="4"/>
      <c r="AF30" s="4"/>
      <c r="AG30" s="4"/>
    </row>
    <row r="31" spans="1:33">
      <c r="A31" s="159"/>
      <c r="B31" s="159"/>
      <c r="C31" s="159"/>
      <c r="D31" s="159"/>
      <c r="E31" s="159"/>
      <c r="F31" s="173"/>
      <c r="G31" s="159"/>
      <c r="H31" s="159"/>
      <c r="I31" s="159"/>
      <c r="J31" s="159"/>
      <c r="K31" s="159"/>
      <c r="L31" s="159"/>
      <c r="M31" s="159"/>
      <c r="N31" s="159"/>
      <c r="O31" s="159"/>
      <c r="P31" s="159"/>
      <c r="Q31" s="160"/>
      <c r="R31" s="161"/>
      <c r="S31" s="161"/>
      <c r="T31" s="161"/>
      <c r="U31" s="162"/>
      <c r="V31" s="163"/>
      <c r="W31" s="164"/>
      <c r="X31" s="165"/>
      <c r="Y31" s="159"/>
      <c r="Z31" s="159"/>
      <c r="AA31" s="4"/>
      <c r="AB31" s="4"/>
      <c r="AC31" s="4"/>
      <c r="AD31" s="4"/>
      <c r="AE31" s="4"/>
      <c r="AF31" s="4"/>
      <c r="AG31" s="4"/>
    </row>
    <row r="32" spans="1:33">
      <c r="A32" s="159"/>
      <c r="B32" s="159"/>
      <c r="C32" s="159"/>
      <c r="D32" s="159"/>
      <c r="E32" s="159"/>
      <c r="F32" s="190"/>
      <c r="G32" s="159"/>
      <c r="H32" s="159"/>
      <c r="I32" s="159"/>
      <c r="J32" s="159"/>
      <c r="K32" s="159"/>
      <c r="L32" s="159"/>
      <c r="M32" s="159"/>
      <c r="N32" s="159"/>
      <c r="O32" s="159"/>
      <c r="P32" s="159"/>
      <c r="Q32" s="160"/>
      <c r="R32" s="161"/>
      <c r="S32" s="161"/>
      <c r="T32" s="161"/>
      <c r="U32" s="162"/>
      <c r="V32" s="163"/>
      <c r="W32" s="164"/>
      <c r="X32" s="165"/>
      <c r="Y32" s="159"/>
      <c r="Z32" s="159"/>
      <c r="AA32" s="4"/>
      <c r="AB32" s="4"/>
      <c r="AC32" s="4"/>
      <c r="AD32" s="4"/>
      <c r="AE32" s="4"/>
      <c r="AF32" s="4"/>
      <c r="AG32" s="4"/>
    </row>
    <row r="33" spans="1:33">
      <c r="A33" s="159"/>
      <c r="B33" s="159"/>
      <c r="C33" s="159"/>
      <c r="D33" s="159"/>
      <c r="E33" s="159"/>
      <c r="F33" s="173"/>
      <c r="G33" s="159"/>
      <c r="H33" s="159"/>
      <c r="I33" s="159"/>
      <c r="J33" s="159"/>
      <c r="K33" s="159"/>
      <c r="L33" s="159"/>
      <c r="M33" s="159"/>
      <c r="N33" s="159"/>
      <c r="O33" s="159"/>
      <c r="P33" s="159"/>
      <c r="Q33" s="160"/>
      <c r="R33" s="161"/>
      <c r="S33" s="161"/>
      <c r="T33" s="161"/>
      <c r="U33" s="162"/>
      <c r="V33" s="163"/>
      <c r="W33" s="164"/>
      <c r="X33" s="165"/>
      <c r="Y33" s="159"/>
      <c r="Z33" s="159"/>
      <c r="AA33" s="4"/>
      <c r="AB33" s="4"/>
      <c r="AC33" s="4"/>
      <c r="AD33" s="4"/>
      <c r="AE33" s="4"/>
      <c r="AF33" s="4"/>
      <c r="AG33" s="4"/>
    </row>
    <row r="34" spans="1:33">
      <c r="A34" s="159"/>
      <c r="B34" s="159"/>
      <c r="C34" s="159"/>
      <c r="D34" s="159"/>
      <c r="E34" s="159"/>
      <c r="F34" s="190"/>
      <c r="G34" s="159"/>
      <c r="H34" s="159"/>
      <c r="I34" s="159"/>
      <c r="J34" s="159"/>
      <c r="K34" s="159"/>
      <c r="L34" s="159"/>
      <c r="M34" s="159"/>
      <c r="N34" s="159"/>
      <c r="O34" s="159"/>
      <c r="P34" s="159"/>
      <c r="Q34" s="160"/>
      <c r="R34" s="161"/>
      <c r="S34" s="161"/>
      <c r="T34" s="161"/>
      <c r="U34" s="162"/>
      <c r="V34" s="163"/>
      <c r="W34" s="164"/>
      <c r="X34" s="165"/>
      <c r="Y34" s="159"/>
      <c r="Z34" s="159"/>
      <c r="AA34" s="4"/>
      <c r="AB34" s="4"/>
      <c r="AC34" s="4"/>
      <c r="AD34" s="4"/>
      <c r="AE34" s="4"/>
      <c r="AF34" s="4"/>
      <c r="AG34" s="4"/>
    </row>
    <row r="35" spans="1:33">
      <c r="A35" s="159"/>
      <c r="B35" s="159"/>
      <c r="C35" s="159"/>
      <c r="D35" s="159"/>
      <c r="E35" s="159"/>
      <c r="F35" s="173"/>
      <c r="G35" s="159"/>
      <c r="H35" s="159"/>
      <c r="I35" s="159"/>
      <c r="J35" s="159"/>
      <c r="K35" s="159"/>
      <c r="L35" s="159"/>
      <c r="M35" s="159"/>
      <c r="N35" s="159"/>
      <c r="O35" s="159"/>
      <c r="P35" s="159"/>
      <c r="Q35" s="160"/>
      <c r="R35" s="161"/>
      <c r="S35" s="161"/>
      <c r="T35" s="161"/>
      <c r="U35" s="162"/>
      <c r="V35" s="163"/>
      <c r="W35" s="164"/>
      <c r="X35" s="165"/>
      <c r="Y35" s="159"/>
      <c r="Z35" s="159"/>
      <c r="AA35" s="4"/>
      <c r="AB35" s="4"/>
      <c r="AC35" s="4"/>
      <c r="AD35" s="4"/>
      <c r="AE35" s="4"/>
      <c r="AF35" s="4"/>
      <c r="AG35" s="4"/>
    </row>
    <row r="36" spans="1:33">
      <c r="A36" s="159"/>
      <c r="B36" s="159"/>
      <c r="C36" s="159"/>
      <c r="D36" s="159"/>
      <c r="E36" s="159"/>
      <c r="F36" s="190"/>
      <c r="G36" s="159"/>
      <c r="H36" s="159"/>
      <c r="I36" s="159"/>
      <c r="J36" s="159"/>
      <c r="K36" s="159"/>
      <c r="L36" s="159"/>
      <c r="M36" s="159"/>
      <c r="N36" s="159"/>
      <c r="O36" s="159"/>
      <c r="P36" s="159"/>
      <c r="Q36" s="160"/>
      <c r="R36" s="161"/>
      <c r="S36" s="161"/>
      <c r="T36" s="161"/>
      <c r="U36" s="162"/>
      <c r="V36" s="163"/>
      <c r="W36" s="164"/>
      <c r="X36" s="165"/>
      <c r="Y36" s="159"/>
      <c r="Z36" s="159"/>
      <c r="AA36" s="4"/>
      <c r="AB36" s="4"/>
      <c r="AC36" s="4"/>
      <c r="AD36" s="4"/>
      <c r="AE36" s="4"/>
      <c r="AF36" s="4"/>
      <c r="AG36" s="4"/>
    </row>
    <row r="37" spans="1:33">
      <c r="A37" s="159"/>
      <c r="B37" s="159"/>
      <c r="C37" s="159"/>
      <c r="D37" s="159"/>
      <c r="E37" s="159"/>
      <c r="F37" s="173"/>
      <c r="G37" s="159"/>
      <c r="H37" s="159"/>
      <c r="I37" s="159"/>
      <c r="J37" s="159"/>
      <c r="K37" s="159"/>
      <c r="L37" s="159"/>
      <c r="M37" s="159"/>
      <c r="N37" s="159"/>
      <c r="O37" s="159"/>
      <c r="P37" s="159"/>
      <c r="Q37" s="160"/>
      <c r="R37" s="161"/>
      <c r="S37" s="161"/>
      <c r="T37" s="161"/>
      <c r="U37" s="162"/>
      <c r="V37" s="163"/>
      <c r="W37" s="164"/>
      <c r="X37" s="165"/>
      <c r="Y37" s="159"/>
      <c r="Z37" s="159"/>
      <c r="AA37" s="4"/>
      <c r="AB37" s="4"/>
      <c r="AC37" s="4"/>
      <c r="AD37" s="4"/>
      <c r="AE37" s="4"/>
      <c r="AF37" s="4"/>
      <c r="AG37" s="4"/>
    </row>
    <row r="38" spans="1:33">
      <c r="A38" s="159"/>
      <c r="B38" s="159"/>
      <c r="C38" s="159"/>
      <c r="D38" s="159"/>
      <c r="E38" s="159"/>
      <c r="F38" s="190"/>
      <c r="G38" s="159"/>
      <c r="H38" s="159"/>
      <c r="I38" s="159"/>
      <c r="J38" s="159"/>
      <c r="K38" s="159"/>
      <c r="L38" s="159"/>
      <c r="M38" s="159"/>
      <c r="N38" s="159"/>
      <c r="O38" s="159"/>
      <c r="P38" s="159"/>
      <c r="Q38" s="160"/>
      <c r="R38" s="181"/>
      <c r="S38" s="181"/>
      <c r="T38" s="181"/>
      <c r="U38" s="182"/>
      <c r="V38" s="183"/>
      <c r="W38" s="184"/>
      <c r="X38" s="165"/>
      <c r="Y38" s="159"/>
      <c r="Z38" s="159"/>
      <c r="AA38" s="4"/>
      <c r="AB38" s="4"/>
      <c r="AC38" s="4"/>
      <c r="AD38" s="4"/>
      <c r="AE38" s="4"/>
      <c r="AF38" s="4"/>
      <c r="AG38" s="4"/>
    </row>
    <row r="39" spans="1:33">
      <c r="A39" s="159"/>
      <c r="B39" s="159"/>
      <c r="C39" s="159"/>
      <c r="D39" s="159"/>
      <c r="E39" s="159"/>
      <c r="F39" s="173"/>
      <c r="G39" s="159"/>
      <c r="H39" s="159"/>
      <c r="I39" s="159"/>
      <c r="J39" s="159"/>
      <c r="K39" s="159"/>
      <c r="L39" s="159"/>
      <c r="M39" s="159"/>
      <c r="N39" s="159"/>
      <c r="O39" s="159"/>
      <c r="P39" s="159"/>
      <c r="Q39" s="160"/>
      <c r="R39" s="181"/>
      <c r="S39" s="181"/>
      <c r="T39" s="181"/>
      <c r="U39" s="182"/>
      <c r="V39" s="183"/>
      <c r="W39" s="184"/>
      <c r="X39" s="165"/>
      <c r="Y39" s="159"/>
      <c r="Z39" s="159"/>
      <c r="AA39" s="4"/>
      <c r="AB39" s="4"/>
      <c r="AC39" s="4"/>
      <c r="AD39" s="4"/>
      <c r="AE39" s="4"/>
      <c r="AF39" s="4"/>
      <c r="AG39" s="4"/>
    </row>
    <row r="40" spans="1:33">
      <c r="A40" s="159"/>
      <c r="B40" s="159"/>
      <c r="C40" s="159"/>
      <c r="D40" s="159"/>
      <c r="E40" s="159"/>
      <c r="F40" s="190"/>
      <c r="G40" s="159"/>
      <c r="H40" s="159"/>
      <c r="I40" s="159"/>
      <c r="J40" s="159"/>
      <c r="K40" s="159"/>
      <c r="L40" s="159"/>
      <c r="M40" s="159"/>
      <c r="N40" s="159"/>
      <c r="O40" s="159"/>
      <c r="P40" s="159"/>
      <c r="Q40" s="160"/>
      <c r="R40" s="181"/>
      <c r="S40" s="181"/>
      <c r="T40" s="181"/>
      <c r="U40" s="182"/>
      <c r="V40" s="183"/>
      <c r="W40" s="184"/>
      <c r="X40" s="165"/>
      <c r="Y40" s="159"/>
      <c r="Z40" s="159"/>
      <c r="AA40" s="4"/>
      <c r="AB40" s="4"/>
      <c r="AC40" s="4"/>
      <c r="AD40" s="4"/>
      <c r="AE40" s="4"/>
      <c r="AF40" s="4"/>
      <c r="AG40" s="4"/>
    </row>
    <row r="41" spans="1:33">
      <c r="A41" s="159"/>
      <c r="B41" s="159"/>
      <c r="C41" s="159"/>
      <c r="D41" s="159"/>
      <c r="E41" s="159"/>
      <c r="F41" s="173"/>
      <c r="G41" s="159"/>
      <c r="H41" s="159"/>
      <c r="I41" s="159"/>
      <c r="J41" s="159"/>
      <c r="K41" s="159"/>
      <c r="L41" s="159"/>
      <c r="M41" s="159"/>
      <c r="N41" s="159"/>
      <c r="O41" s="159"/>
      <c r="P41" s="159"/>
      <c r="Q41" s="160"/>
      <c r="R41" s="181"/>
      <c r="S41" s="181"/>
      <c r="T41" s="181"/>
      <c r="U41" s="182"/>
      <c r="V41" s="183"/>
      <c r="W41" s="184"/>
      <c r="X41" s="165"/>
      <c r="Y41" s="159"/>
      <c r="Z41" s="159"/>
      <c r="AA41" s="4"/>
      <c r="AB41" s="4"/>
      <c r="AC41" s="4"/>
      <c r="AD41" s="4"/>
      <c r="AE41" s="4"/>
      <c r="AF41" s="4"/>
      <c r="AG41" s="4"/>
    </row>
    <row r="42" spans="1:33">
      <c r="A42" s="159"/>
      <c r="B42" s="159"/>
      <c r="C42" s="159"/>
      <c r="D42" s="159"/>
      <c r="E42" s="159"/>
      <c r="F42" s="190"/>
      <c r="G42" s="159"/>
      <c r="H42" s="159"/>
      <c r="I42" s="159"/>
      <c r="J42" s="159"/>
      <c r="K42" s="159"/>
      <c r="L42" s="159"/>
      <c r="M42" s="159"/>
      <c r="N42" s="159"/>
      <c r="O42" s="159"/>
      <c r="P42" s="159"/>
      <c r="Q42" s="160"/>
      <c r="R42" s="181"/>
      <c r="S42" s="181"/>
      <c r="T42" s="181"/>
      <c r="U42" s="182"/>
      <c r="V42" s="183"/>
      <c r="W42" s="184"/>
      <c r="X42" s="165"/>
      <c r="Y42" s="159"/>
      <c r="Z42" s="159"/>
      <c r="AA42" s="4"/>
      <c r="AB42" s="4"/>
      <c r="AC42" s="4"/>
      <c r="AD42" s="4"/>
      <c r="AE42" s="4"/>
      <c r="AF42" s="4"/>
      <c r="AG42" s="4"/>
    </row>
    <row r="43" spans="1:33">
      <c r="A43" s="159"/>
      <c r="B43" s="159"/>
      <c r="C43" s="159"/>
      <c r="D43" s="159"/>
      <c r="E43" s="159"/>
      <c r="F43" s="173"/>
      <c r="G43" s="159"/>
      <c r="H43" s="159"/>
      <c r="I43" s="159"/>
      <c r="J43" s="159"/>
      <c r="K43" s="159"/>
      <c r="L43" s="159"/>
      <c r="M43" s="159"/>
      <c r="N43" s="159"/>
      <c r="O43" s="159"/>
      <c r="P43" s="159"/>
      <c r="Q43" s="160"/>
      <c r="R43" s="181"/>
      <c r="S43" s="181"/>
      <c r="T43" s="181"/>
      <c r="U43" s="182"/>
      <c r="V43" s="183"/>
      <c r="W43" s="184"/>
      <c r="X43" s="165"/>
      <c r="Y43" s="159"/>
      <c r="Z43" s="159"/>
      <c r="AA43" s="4"/>
      <c r="AB43" s="4"/>
      <c r="AC43" s="4"/>
      <c r="AD43" s="4"/>
      <c r="AE43" s="4"/>
      <c r="AF43" s="4"/>
      <c r="AG43" s="4"/>
    </row>
    <row r="44" spans="1:33">
      <c r="A44" s="159"/>
      <c r="B44" s="159"/>
      <c r="C44" s="159"/>
      <c r="D44" s="159"/>
      <c r="E44" s="159"/>
      <c r="F44" s="190"/>
      <c r="G44" s="159"/>
      <c r="H44" s="159"/>
      <c r="I44" s="159"/>
      <c r="J44" s="159"/>
      <c r="K44" s="159"/>
      <c r="L44" s="159"/>
      <c r="M44" s="159"/>
      <c r="N44" s="159"/>
      <c r="O44" s="159"/>
      <c r="P44" s="159"/>
      <c r="Q44" s="160"/>
      <c r="R44" s="181"/>
      <c r="S44" s="181"/>
      <c r="T44" s="181"/>
      <c r="U44" s="182"/>
      <c r="V44" s="183"/>
      <c r="W44" s="184"/>
      <c r="X44" s="165"/>
      <c r="Y44" s="159"/>
      <c r="Z44" s="159"/>
      <c r="AA44" s="4"/>
      <c r="AB44" s="4"/>
      <c r="AC44" s="4"/>
      <c r="AD44" s="4"/>
      <c r="AE44" s="4"/>
      <c r="AF44" s="4"/>
      <c r="AG44" s="4"/>
    </row>
    <row r="45" spans="1:33">
      <c r="A45" s="159"/>
      <c r="B45" s="159"/>
      <c r="C45" s="159"/>
      <c r="D45" s="159"/>
      <c r="E45" s="159"/>
      <c r="F45" s="173"/>
      <c r="G45" s="159"/>
      <c r="H45" s="159"/>
      <c r="I45" s="159"/>
      <c r="J45" s="159"/>
      <c r="K45" s="159"/>
      <c r="L45" s="159"/>
      <c r="M45" s="159"/>
      <c r="N45" s="159"/>
      <c r="O45" s="159"/>
      <c r="P45" s="159"/>
      <c r="Q45" s="160"/>
      <c r="R45" s="181"/>
      <c r="S45" s="181"/>
      <c r="T45" s="181"/>
      <c r="U45" s="182"/>
      <c r="V45" s="183"/>
      <c r="W45" s="184"/>
      <c r="X45" s="165"/>
      <c r="Y45" s="159"/>
      <c r="Z45" s="159"/>
      <c r="AA45" s="4"/>
      <c r="AB45" s="4"/>
      <c r="AC45" s="4"/>
      <c r="AD45" s="4"/>
      <c r="AE45" s="4"/>
      <c r="AF45" s="4"/>
      <c r="AG45" s="4"/>
    </row>
    <row r="46" spans="1:33">
      <c r="A46" s="159"/>
      <c r="B46" s="159"/>
      <c r="C46" s="159"/>
      <c r="D46" s="159"/>
      <c r="E46" s="159"/>
      <c r="F46" s="190"/>
      <c r="G46" s="159"/>
      <c r="H46" s="159"/>
      <c r="I46" s="159"/>
      <c r="J46" s="159"/>
      <c r="K46" s="159"/>
      <c r="L46" s="159"/>
      <c r="M46" s="159"/>
      <c r="N46" s="159"/>
      <c r="O46" s="159"/>
      <c r="P46" s="159"/>
      <c r="Q46" s="160"/>
      <c r="R46" s="181"/>
      <c r="S46" s="181"/>
      <c r="T46" s="181"/>
      <c r="U46" s="182"/>
      <c r="V46" s="183"/>
      <c r="W46" s="184"/>
      <c r="X46" s="165"/>
      <c r="Y46" s="159"/>
      <c r="Z46" s="159"/>
      <c r="AA46" s="4"/>
      <c r="AB46" s="4"/>
      <c r="AC46" s="4"/>
      <c r="AD46" s="4"/>
      <c r="AE46" s="4"/>
      <c r="AF46" s="4"/>
      <c r="AG46" s="4"/>
    </row>
    <row r="47" spans="1:33">
      <c r="A47" s="159"/>
      <c r="B47" s="159"/>
      <c r="C47" s="159"/>
      <c r="D47" s="159"/>
      <c r="E47" s="159"/>
      <c r="F47" s="173"/>
      <c r="G47" s="159"/>
      <c r="H47" s="159"/>
      <c r="I47" s="159"/>
      <c r="J47" s="159"/>
      <c r="K47" s="159"/>
      <c r="L47" s="159"/>
      <c r="M47" s="159"/>
      <c r="N47" s="159"/>
      <c r="O47" s="159"/>
      <c r="P47" s="159"/>
      <c r="Q47" s="160"/>
      <c r="R47" s="181"/>
      <c r="S47" s="181"/>
      <c r="T47" s="181"/>
      <c r="U47" s="182"/>
      <c r="V47" s="183"/>
      <c r="W47" s="184"/>
      <c r="X47" s="165"/>
      <c r="Y47" s="159"/>
      <c r="Z47" s="159"/>
      <c r="AA47" s="4"/>
      <c r="AB47" s="4"/>
      <c r="AC47" s="4"/>
      <c r="AD47" s="4"/>
      <c r="AE47" s="4"/>
      <c r="AF47" s="4"/>
      <c r="AG47" s="4"/>
    </row>
    <row r="48" spans="1:33">
      <c r="A48" s="159"/>
      <c r="B48" s="159"/>
      <c r="C48" s="159"/>
      <c r="D48" s="159"/>
      <c r="E48" s="159"/>
      <c r="F48" s="190"/>
      <c r="G48" s="159"/>
      <c r="H48" s="159"/>
      <c r="I48" s="159"/>
      <c r="J48" s="159"/>
      <c r="K48" s="159"/>
      <c r="L48" s="159"/>
      <c r="M48" s="159"/>
      <c r="N48" s="159"/>
      <c r="O48" s="159"/>
      <c r="P48" s="159"/>
      <c r="Q48" s="160"/>
      <c r="R48" s="181"/>
      <c r="S48" s="181"/>
      <c r="T48" s="181"/>
      <c r="U48" s="182"/>
      <c r="V48" s="183"/>
      <c r="W48" s="184"/>
      <c r="X48" s="165"/>
      <c r="Y48" s="159"/>
      <c r="Z48" s="159"/>
      <c r="AA48" s="4"/>
      <c r="AB48" s="4"/>
      <c r="AC48" s="4"/>
      <c r="AD48" s="4"/>
      <c r="AE48" s="4"/>
      <c r="AF48" s="4"/>
      <c r="AG48" s="4"/>
    </row>
    <row r="49" spans="1:33">
      <c r="A49" s="159"/>
      <c r="B49" s="159"/>
      <c r="C49" s="159"/>
      <c r="D49" s="159"/>
      <c r="E49" s="159"/>
      <c r="F49" s="173"/>
      <c r="G49" s="159"/>
      <c r="H49" s="159"/>
      <c r="I49" s="159"/>
      <c r="J49" s="159"/>
      <c r="K49" s="159"/>
      <c r="L49" s="159"/>
      <c r="M49" s="159"/>
      <c r="N49" s="159"/>
      <c r="O49" s="159"/>
      <c r="P49" s="159"/>
      <c r="Q49" s="160"/>
      <c r="R49" s="181"/>
      <c r="S49" s="181"/>
      <c r="T49" s="181"/>
      <c r="U49" s="182"/>
      <c r="V49" s="183"/>
      <c r="W49" s="184"/>
      <c r="X49" s="165"/>
      <c r="Y49" s="159"/>
      <c r="Z49" s="159"/>
      <c r="AA49" s="4"/>
      <c r="AB49" s="4"/>
      <c r="AC49" s="4"/>
      <c r="AD49" s="4"/>
      <c r="AE49" s="4"/>
      <c r="AF49" s="4"/>
      <c r="AG49" s="4"/>
    </row>
    <row r="50" spans="1:33">
      <c r="A50" s="159"/>
      <c r="B50" s="159"/>
      <c r="C50" s="159"/>
      <c r="D50" s="159"/>
      <c r="E50" s="159"/>
      <c r="F50" s="190"/>
      <c r="G50" s="159"/>
      <c r="H50" s="159"/>
      <c r="I50" s="159"/>
      <c r="J50" s="159"/>
      <c r="K50" s="159"/>
      <c r="L50" s="159"/>
      <c r="M50" s="159"/>
      <c r="N50" s="159"/>
      <c r="O50" s="159"/>
      <c r="P50" s="159"/>
      <c r="Q50" s="160"/>
      <c r="R50" s="181"/>
      <c r="S50" s="181"/>
      <c r="T50" s="181"/>
      <c r="U50" s="182"/>
      <c r="V50" s="183"/>
      <c r="W50" s="184"/>
      <c r="X50" s="165"/>
      <c r="Y50" s="159"/>
      <c r="Z50" s="159"/>
      <c r="AA50" s="4"/>
      <c r="AB50" s="4"/>
      <c r="AC50" s="4"/>
      <c r="AD50" s="4"/>
      <c r="AE50" s="4"/>
      <c r="AF50" s="4"/>
      <c r="AG50" s="4"/>
    </row>
    <row r="51" spans="1:33">
      <c r="A51" s="159"/>
      <c r="B51" s="159"/>
      <c r="C51" s="159"/>
      <c r="D51" s="159"/>
      <c r="E51" s="159"/>
      <c r="F51" s="173"/>
      <c r="G51" s="159"/>
      <c r="H51" s="159"/>
      <c r="I51" s="159"/>
      <c r="J51" s="159"/>
      <c r="K51" s="159"/>
      <c r="L51" s="159"/>
      <c r="M51" s="159"/>
      <c r="N51" s="159"/>
      <c r="O51" s="159"/>
      <c r="P51" s="159"/>
      <c r="Q51" s="160"/>
      <c r="R51" s="181"/>
      <c r="S51" s="181"/>
      <c r="T51" s="181"/>
      <c r="U51" s="182"/>
      <c r="V51" s="183"/>
      <c r="W51" s="184"/>
      <c r="X51" s="165"/>
      <c r="Y51" s="159"/>
      <c r="Z51" s="159"/>
      <c r="AA51" s="4"/>
      <c r="AB51" s="4"/>
      <c r="AC51" s="4"/>
      <c r="AD51" s="4"/>
      <c r="AE51" s="4"/>
      <c r="AF51" s="4"/>
      <c r="AG51" s="4"/>
    </row>
    <row r="52" spans="1:33">
      <c r="A52" s="159"/>
      <c r="B52" s="159"/>
      <c r="C52" s="159"/>
      <c r="D52" s="159"/>
      <c r="E52" s="159"/>
      <c r="F52" s="190"/>
      <c r="G52" s="159"/>
      <c r="H52" s="159"/>
      <c r="I52" s="159"/>
      <c r="J52" s="159"/>
      <c r="K52" s="159"/>
      <c r="L52" s="159"/>
      <c r="M52" s="159"/>
      <c r="N52" s="159"/>
      <c r="O52" s="159"/>
      <c r="P52" s="159"/>
      <c r="Q52" s="160"/>
      <c r="R52" s="181"/>
      <c r="S52" s="181"/>
      <c r="T52" s="181"/>
      <c r="U52" s="182"/>
      <c r="V52" s="183"/>
      <c r="W52" s="184"/>
      <c r="X52" s="165"/>
      <c r="Y52" s="159"/>
      <c r="Z52" s="159"/>
      <c r="AA52" s="4"/>
      <c r="AB52" s="4"/>
      <c r="AC52" s="4"/>
      <c r="AD52" s="4"/>
      <c r="AE52" s="4"/>
      <c r="AF52" s="4"/>
      <c r="AG52" s="4"/>
    </row>
    <row r="53" spans="1:33">
      <c r="A53" s="159"/>
      <c r="B53" s="159"/>
      <c r="C53" s="159"/>
      <c r="D53" s="159"/>
      <c r="E53" s="159"/>
      <c r="F53" s="173"/>
      <c r="G53" s="159"/>
      <c r="H53" s="159"/>
      <c r="I53" s="159"/>
      <c r="J53" s="159"/>
      <c r="K53" s="159"/>
      <c r="L53" s="159"/>
      <c r="M53" s="159"/>
      <c r="N53" s="159"/>
      <c r="O53" s="159"/>
      <c r="P53" s="159"/>
      <c r="Q53" s="160"/>
      <c r="R53" s="181"/>
      <c r="S53" s="181"/>
      <c r="T53" s="181"/>
      <c r="U53" s="182"/>
      <c r="V53" s="183"/>
      <c r="W53" s="184"/>
      <c r="X53" s="165"/>
      <c r="Y53" s="159"/>
      <c r="Z53" s="159"/>
      <c r="AA53" s="4"/>
      <c r="AB53" s="4"/>
      <c r="AC53" s="4"/>
      <c r="AD53" s="4"/>
      <c r="AE53" s="4"/>
      <c r="AF53" s="4"/>
      <c r="AG53" s="4"/>
    </row>
    <row r="54" spans="1:33">
      <c r="A54" s="159"/>
      <c r="B54" s="159"/>
      <c r="C54" s="159"/>
      <c r="D54" s="159"/>
      <c r="E54" s="159"/>
      <c r="F54" s="190"/>
      <c r="G54" s="159"/>
      <c r="H54" s="159"/>
      <c r="I54" s="159"/>
      <c r="J54" s="159"/>
      <c r="K54" s="159"/>
      <c r="L54" s="159"/>
      <c r="M54" s="159"/>
      <c r="N54" s="159"/>
      <c r="O54" s="159"/>
      <c r="P54" s="159"/>
      <c r="Q54" s="160"/>
      <c r="R54" s="181"/>
      <c r="S54" s="181"/>
      <c r="T54" s="181"/>
      <c r="U54" s="182"/>
      <c r="V54" s="183"/>
      <c r="W54" s="184"/>
      <c r="X54" s="165"/>
      <c r="Y54" s="159"/>
      <c r="Z54" s="159"/>
      <c r="AA54" s="4"/>
      <c r="AB54" s="4"/>
      <c r="AC54" s="4"/>
      <c r="AD54" s="4"/>
      <c r="AE54" s="4"/>
      <c r="AF54" s="4"/>
      <c r="AG54" s="4"/>
    </row>
    <row r="55" spans="1:33">
      <c r="A55" s="159"/>
      <c r="B55" s="159"/>
      <c r="C55" s="159"/>
      <c r="D55" s="159"/>
      <c r="E55" s="159"/>
      <c r="F55" s="173"/>
      <c r="G55" s="159"/>
      <c r="H55" s="159"/>
      <c r="I55" s="159"/>
      <c r="J55" s="159"/>
      <c r="K55" s="159"/>
      <c r="L55" s="159"/>
      <c r="M55" s="159"/>
      <c r="N55" s="159"/>
      <c r="O55" s="159"/>
      <c r="P55" s="159"/>
      <c r="Q55" s="160"/>
      <c r="R55" s="181"/>
      <c r="S55" s="181"/>
      <c r="T55" s="181"/>
      <c r="U55" s="182"/>
      <c r="V55" s="183"/>
      <c r="W55" s="184"/>
      <c r="X55" s="165"/>
      <c r="Y55" s="159"/>
      <c r="Z55" s="159"/>
      <c r="AA55" s="4"/>
      <c r="AB55" s="4"/>
      <c r="AC55" s="4"/>
      <c r="AD55" s="4"/>
      <c r="AE55" s="4"/>
      <c r="AF55" s="4"/>
      <c r="AG55" s="4"/>
    </row>
    <row r="56" spans="1:33">
      <c r="A56" s="159"/>
      <c r="B56" s="159"/>
      <c r="C56" s="159"/>
      <c r="D56" s="159"/>
      <c r="E56" s="159"/>
      <c r="F56" s="190"/>
      <c r="G56" s="159"/>
      <c r="H56" s="159"/>
      <c r="I56" s="159"/>
      <c r="J56" s="159"/>
      <c r="K56" s="159"/>
      <c r="L56" s="159"/>
      <c r="M56" s="159"/>
      <c r="N56" s="159"/>
      <c r="O56" s="159"/>
      <c r="P56" s="159"/>
      <c r="Q56" s="160"/>
      <c r="R56" s="181"/>
      <c r="S56" s="181"/>
      <c r="T56" s="181"/>
      <c r="U56" s="182"/>
      <c r="V56" s="183"/>
      <c r="W56" s="184"/>
      <c r="X56" s="165"/>
      <c r="Y56" s="159"/>
      <c r="Z56" s="159"/>
      <c r="AA56" s="4"/>
      <c r="AB56" s="4"/>
      <c r="AC56" s="4"/>
      <c r="AD56" s="4"/>
      <c r="AE56" s="4"/>
      <c r="AF56" s="4"/>
      <c r="AG56" s="4"/>
    </row>
    <row r="57" spans="1:33">
      <c r="A57" s="159"/>
      <c r="B57" s="159"/>
      <c r="C57" s="159"/>
      <c r="D57" s="159"/>
      <c r="E57" s="159"/>
      <c r="F57" s="173"/>
      <c r="G57" s="159"/>
      <c r="H57" s="159"/>
      <c r="I57" s="159"/>
      <c r="J57" s="159"/>
      <c r="K57" s="159"/>
      <c r="L57" s="159"/>
      <c r="M57" s="159"/>
      <c r="N57" s="159"/>
      <c r="O57" s="159"/>
      <c r="P57" s="159"/>
      <c r="Q57" s="160"/>
      <c r="R57" s="181"/>
      <c r="S57" s="181"/>
      <c r="T57" s="181"/>
      <c r="U57" s="182"/>
      <c r="V57" s="183"/>
      <c r="W57" s="184"/>
      <c r="X57" s="165"/>
      <c r="Y57" s="159"/>
      <c r="Z57" s="159"/>
      <c r="AA57" s="4"/>
      <c r="AB57" s="4"/>
      <c r="AC57" s="4"/>
      <c r="AD57" s="4"/>
      <c r="AE57" s="4"/>
      <c r="AF57" s="4"/>
      <c r="AG57" s="4"/>
    </row>
    <row r="58" spans="1:33">
      <c r="A58" s="159"/>
      <c r="B58" s="159"/>
      <c r="C58" s="159"/>
      <c r="D58" s="159"/>
      <c r="E58" s="159"/>
      <c r="F58" s="190"/>
      <c r="G58" s="159"/>
      <c r="H58" s="159"/>
      <c r="I58" s="159"/>
      <c r="J58" s="159"/>
      <c r="K58" s="159"/>
      <c r="L58" s="159"/>
      <c r="M58" s="159"/>
      <c r="N58" s="159"/>
      <c r="O58" s="159"/>
      <c r="P58" s="159"/>
      <c r="Q58" s="160"/>
      <c r="R58" s="181"/>
      <c r="S58" s="181"/>
      <c r="T58" s="181"/>
      <c r="U58" s="182"/>
      <c r="V58" s="183"/>
      <c r="W58" s="184"/>
      <c r="X58" s="165"/>
      <c r="Y58" s="159"/>
      <c r="Z58" s="159"/>
      <c r="AA58" s="4"/>
      <c r="AB58" s="4"/>
      <c r="AC58" s="4"/>
      <c r="AD58" s="4"/>
      <c r="AE58" s="4"/>
      <c r="AF58" s="4"/>
      <c r="AG58" s="4"/>
    </row>
    <row r="59" spans="1:33">
      <c r="A59" s="159"/>
      <c r="B59" s="159"/>
      <c r="C59" s="159"/>
      <c r="D59" s="159"/>
      <c r="E59" s="159"/>
      <c r="F59" s="173"/>
      <c r="G59" s="159"/>
      <c r="H59" s="159"/>
      <c r="I59" s="159"/>
      <c r="J59" s="159"/>
      <c r="K59" s="159"/>
      <c r="L59" s="159"/>
      <c r="M59" s="159"/>
      <c r="N59" s="159"/>
      <c r="O59" s="159"/>
      <c r="P59" s="159"/>
      <c r="Q59" s="160"/>
      <c r="R59" s="181"/>
      <c r="S59" s="181"/>
      <c r="T59" s="181"/>
      <c r="U59" s="182"/>
      <c r="V59" s="183"/>
      <c r="W59" s="184"/>
      <c r="X59" s="165"/>
      <c r="Y59" s="159"/>
      <c r="Z59" s="159"/>
      <c r="AA59" s="4"/>
      <c r="AB59" s="4"/>
      <c r="AC59" s="4"/>
      <c r="AD59" s="4"/>
      <c r="AE59" s="4"/>
      <c r="AF59" s="4"/>
      <c r="AG59" s="4"/>
    </row>
    <row r="60" spans="1:33">
      <c r="A60" s="159"/>
      <c r="B60" s="159"/>
      <c r="C60" s="159"/>
      <c r="D60" s="159"/>
      <c r="E60" s="159"/>
      <c r="F60" s="190"/>
      <c r="G60" s="159"/>
      <c r="H60" s="159"/>
      <c r="I60" s="159"/>
      <c r="J60" s="159"/>
      <c r="K60" s="159"/>
      <c r="L60" s="159"/>
      <c r="M60" s="159"/>
      <c r="N60" s="159"/>
      <c r="O60" s="159"/>
      <c r="P60" s="159"/>
      <c r="Q60" s="160"/>
      <c r="R60" s="181"/>
      <c r="S60" s="181"/>
      <c r="T60" s="181"/>
      <c r="U60" s="182"/>
      <c r="V60" s="183"/>
      <c r="W60" s="184"/>
      <c r="X60" s="165"/>
      <c r="Y60" s="159"/>
      <c r="Z60" s="159"/>
      <c r="AA60" s="4"/>
      <c r="AB60" s="4"/>
      <c r="AC60" s="4"/>
      <c r="AD60" s="4"/>
      <c r="AE60" s="4"/>
      <c r="AF60" s="4"/>
      <c r="AG60" s="4"/>
    </row>
    <row r="61" spans="1:33">
      <c r="A61" s="159"/>
      <c r="B61" s="159"/>
      <c r="C61" s="159"/>
      <c r="D61" s="159"/>
      <c r="E61" s="159"/>
      <c r="F61" s="173"/>
      <c r="G61" s="159"/>
      <c r="H61" s="159"/>
      <c r="I61" s="159"/>
      <c r="J61" s="159"/>
      <c r="K61" s="159"/>
      <c r="L61" s="159"/>
      <c r="M61" s="159"/>
      <c r="N61" s="159"/>
      <c r="O61" s="159"/>
      <c r="P61" s="159"/>
      <c r="Q61" s="160"/>
      <c r="R61" s="181"/>
      <c r="S61" s="181"/>
      <c r="T61" s="181"/>
      <c r="U61" s="182"/>
      <c r="V61" s="183"/>
      <c r="W61" s="184"/>
      <c r="X61" s="165"/>
      <c r="Y61" s="159"/>
      <c r="Z61" s="159"/>
      <c r="AA61" s="4"/>
      <c r="AB61" s="4"/>
      <c r="AC61" s="4"/>
      <c r="AD61" s="4"/>
      <c r="AE61" s="4"/>
      <c r="AF61" s="4"/>
      <c r="AG61" s="4"/>
    </row>
    <row r="62" spans="1:33">
      <c r="A62" s="159"/>
      <c r="B62" s="159"/>
      <c r="C62" s="159"/>
      <c r="D62" s="159"/>
      <c r="E62" s="159"/>
      <c r="F62" s="190"/>
      <c r="G62" s="159"/>
      <c r="H62" s="159"/>
      <c r="I62" s="159"/>
      <c r="J62" s="159"/>
      <c r="K62" s="159"/>
      <c r="L62" s="159"/>
      <c r="M62" s="159"/>
      <c r="N62" s="159"/>
      <c r="O62" s="159"/>
      <c r="P62" s="159"/>
      <c r="Q62" s="160"/>
      <c r="R62" s="181"/>
      <c r="S62" s="181"/>
      <c r="T62" s="181"/>
      <c r="U62" s="182"/>
      <c r="V62" s="183"/>
      <c r="W62" s="184"/>
      <c r="X62" s="165"/>
      <c r="Y62" s="159"/>
      <c r="Z62" s="159"/>
      <c r="AA62" s="4"/>
      <c r="AB62" s="4"/>
      <c r="AC62" s="4"/>
      <c r="AD62" s="4"/>
      <c r="AE62" s="4"/>
      <c r="AF62" s="4"/>
      <c r="AG62" s="4"/>
    </row>
    <row r="63" spans="1:33">
      <c r="A63" s="159"/>
      <c r="B63" s="159"/>
      <c r="C63" s="159"/>
      <c r="D63" s="159"/>
      <c r="E63" s="159"/>
      <c r="F63" s="173"/>
      <c r="G63" s="159"/>
      <c r="H63" s="159"/>
      <c r="I63" s="159"/>
      <c r="J63" s="159"/>
      <c r="K63" s="159"/>
      <c r="L63" s="159"/>
      <c r="M63" s="159"/>
      <c r="N63" s="159"/>
      <c r="O63" s="159"/>
      <c r="P63" s="159"/>
      <c r="Q63" s="160"/>
      <c r="R63" s="181"/>
      <c r="S63" s="181"/>
      <c r="T63" s="181"/>
      <c r="U63" s="182"/>
      <c r="V63" s="183"/>
      <c r="W63" s="184"/>
      <c r="X63" s="165"/>
      <c r="Y63" s="159"/>
      <c r="Z63" s="159"/>
      <c r="AA63" s="4"/>
      <c r="AB63" s="4"/>
      <c r="AC63" s="4"/>
      <c r="AD63" s="4"/>
      <c r="AE63" s="4"/>
      <c r="AF63" s="4"/>
      <c r="AG63" s="4"/>
    </row>
    <row r="64" spans="1:33">
      <c r="A64" s="159"/>
      <c r="B64" s="159"/>
      <c r="C64" s="159"/>
      <c r="D64" s="159"/>
      <c r="E64" s="159"/>
      <c r="F64" s="190"/>
      <c r="G64" s="159"/>
      <c r="H64" s="159"/>
      <c r="I64" s="159"/>
      <c r="J64" s="159"/>
      <c r="K64" s="159"/>
      <c r="L64" s="159"/>
      <c r="M64" s="159"/>
      <c r="N64" s="159"/>
      <c r="O64" s="159"/>
      <c r="P64" s="159"/>
      <c r="Q64" s="160"/>
      <c r="R64" s="181"/>
      <c r="S64" s="181"/>
      <c r="T64" s="181"/>
      <c r="U64" s="182"/>
      <c r="V64" s="183"/>
      <c r="W64" s="184"/>
      <c r="X64" s="165"/>
      <c r="Y64" s="159"/>
      <c r="Z64" s="159"/>
      <c r="AA64" s="4"/>
      <c r="AB64" s="4"/>
      <c r="AC64" s="4"/>
      <c r="AD64" s="4"/>
      <c r="AE64" s="4"/>
      <c r="AF64" s="4"/>
      <c r="AG64" s="4"/>
    </row>
    <row r="65" spans="1:33">
      <c r="A65" s="159"/>
      <c r="B65" s="159"/>
      <c r="C65" s="159"/>
      <c r="D65" s="159"/>
      <c r="E65" s="159"/>
      <c r="F65" s="173"/>
      <c r="G65" s="159"/>
      <c r="H65" s="159"/>
      <c r="I65" s="159"/>
      <c r="J65" s="159"/>
      <c r="K65" s="159"/>
      <c r="L65" s="159"/>
      <c r="M65" s="159"/>
      <c r="N65" s="159"/>
      <c r="O65" s="159"/>
      <c r="P65" s="159"/>
      <c r="Q65" s="160"/>
      <c r="R65" s="181"/>
      <c r="S65" s="181"/>
      <c r="T65" s="181"/>
      <c r="U65" s="182"/>
      <c r="V65" s="183"/>
      <c r="W65" s="184"/>
      <c r="X65" s="165"/>
      <c r="Y65" s="159"/>
      <c r="Z65" s="159"/>
      <c r="AA65" s="4"/>
      <c r="AB65" s="4"/>
      <c r="AC65" s="4"/>
      <c r="AD65" s="4"/>
      <c r="AE65" s="4"/>
      <c r="AF65" s="4"/>
      <c r="AG65" s="4"/>
    </row>
    <row r="66" spans="1:33">
      <c r="A66" s="159"/>
      <c r="B66" s="159"/>
      <c r="C66" s="159"/>
      <c r="D66" s="159"/>
      <c r="E66" s="159"/>
      <c r="F66" s="190"/>
      <c r="G66" s="159"/>
      <c r="H66" s="159"/>
      <c r="I66" s="159"/>
      <c r="J66" s="159"/>
      <c r="K66" s="159"/>
      <c r="L66" s="159"/>
      <c r="M66" s="159"/>
      <c r="N66" s="159"/>
      <c r="O66" s="159"/>
      <c r="P66" s="159"/>
      <c r="Q66" s="160"/>
      <c r="R66" s="181"/>
      <c r="S66" s="181"/>
      <c r="T66" s="181"/>
      <c r="U66" s="182"/>
      <c r="V66" s="183"/>
      <c r="W66" s="184"/>
      <c r="X66" s="165"/>
      <c r="Y66" s="159"/>
      <c r="Z66" s="159"/>
      <c r="AA66" s="4"/>
      <c r="AB66" s="4"/>
      <c r="AC66" s="4"/>
      <c r="AD66" s="4"/>
      <c r="AE66" s="4"/>
      <c r="AF66" s="4"/>
      <c r="AG66" s="4"/>
    </row>
    <row r="67" spans="1:33">
      <c r="A67" s="159"/>
      <c r="B67" s="159"/>
      <c r="C67" s="159"/>
      <c r="D67" s="159"/>
      <c r="E67" s="159"/>
      <c r="F67" s="173"/>
      <c r="G67" s="159"/>
      <c r="H67" s="159"/>
      <c r="I67" s="159"/>
      <c r="J67" s="159"/>
      <c r="K67" s="159"/>
      <c r="L67" s="159"/>
      <c r="M67" s="159"/>
      <c r="N67" s="159"/>
      <c r="O67" s="159"/>
      <c r="P67" s="159"/>
      <c r="Q67" s="160"/>
      <c r="R67" s="181"/>
      <c r="S67" s="181"/>
      <c r="T67" s="181"/>
      <c r="U67" s="182"/>
      <c r="V67" s="183"/>
      <c r="W67" s="184"/>
      <c r="X67" s="165"/>
      <c r="Y67" s="159"/>
      <c r="Z67" s="159"/>
      <c r="AA67" s="4"/>
      <c r="AB67" s="4"/>
      <c r="AC67" s="4"/>
      <c r="AD67" s="4"/>
      <c r="AE67" s="4"/>
      <c r="AF67" s="4"/>
      <c r="AG67" s="4"/>
    </row>
    <row r="68" spans="1:33">
      <c r="A68" s="159"/>
      <c r="B68" s="159"/>
      <c r="C68" s="159"/>
      <c r="D68" s="159"/>
      <c r="E68" s="159"/>
      <c r="F68" s="190"/>
      <c r="G68" s="159"/>
      <c r="H68" s="159"/>
      <c r="I68" s="159"/>
      <c r="J68" s="159"/>
      <c r="K68" s="159"/>
      <c r="L68" s="159"/>
      <c r="M68" s="159"/>
      <c r="N68" s="159"/>
      <c r="O68" s="159"/>
      <c r="P68" s="159"/>
      <c r="Q68" s="160"/>
      <c r="R68" s="181"/>
      <c r="S68" s="181"/>
      <c r="T68" s="181"/>
      <c r="U68" s="182"/>
      <c r="V68" s="183"/>
      <c r="W68" s="184"/>
      <c r="X68" s="165"/>
      <c r="Y68" s="159"/>
      <c r="Z68" s="159"/>
      <c r="AA68" s="4"/>
      <c r="AB68" s="4"/>
      <c r="AC68" s="4"/>
      <c r="AD68" s="4"/>
      <c r="AE68" s="4"/>
      <c r="AF68" s="4"/>
      <c r="AG68" s="4"/>
    </row>
    <row r="69" spans="1:33">
      <c r="A69" s="159"/>
      <c r="B69" s="159"/>
      <c r="C69" s="159"/>
      <c r="D69" s="159"/>
      <c r="E69" s="159"/>
      <c r="F69" s="173"/>
      <c r="G69" s="159"/>
      <c r="H69" s="159"/>
      <c r="I69" s="159"/>
      <c r="J69" s="159"/>
      <c r="K69" s="159"/>
      <c r="L69" s="159"/>
      <c r="M69" s="159"/>
      <c r="N69" s="159"/>
      <c r="O69" s="159"/>
      <c r="P69" s="159"/>
      <c r="Q69" s="160"/>
      <c r="R69" s="181"/>
      <c r="S69" s="181"/>
      <c r="T69" s="181"/>
      <c r="U69" s="182"/>
      <c r="V69" s="183"/>
      <c r="W69" s="184"/>
      <c r="X69" s="165"/>
      <c r="Y69" s="159"/>
      <c r="Z69" s="159"/>
      <c r="AA69" s="4"/>
      <c r="AB69" s="4"/>
      <c r="AC69" s="4"/>
      <c r="AD69" s="4"/>
      <c r="AE69" s="4"/>
      <c r="AF69" s="4"/>
      <c r="AG69" s="4"/>
    </row>
    <row r="70" spans="1:33">
      <c r="A70" s="159"/>
      <c r="B70" s="159"/>
      <c r="C70" s="159"/>
      <c r="D70" s="159"/>
      <c r="E70" s="159"/>
      <c r="F70" s="190"/>
      <c r="G70" s="159"/>
      <c r="H70" s="159"/>
      <c r="I70" s="159"/>
      <c r="J70" s="159"/>
      <c r="K70" s="159"/>
      <c r="L70" s="159"/>
      <c r="M70" s="159"/>
      <c r="N70" s="159"/>
      <c r="O70" s="159"/>
      <c r="P70" s="159"/>
      <c r="Q70" s="160"/>
      <c r="R70" s="181"/>
      <c r="S70" s="181"/>
      <c r="T70" s="181"/>
      <c r="U70" s="182"/>
      <c r="V70" s="183"/>
      <c r="W70" s="184"/>
      <c r="X70" s="165"/>
      <c r="Y70" s="159"/>
      <c r="Z70" s="159"/>
      <c r="AA70" s="4"/>
      <c r="AB70" s="4"/>
      <c r="AC70" s="4"/>
      <c r="AD70" s="4"/>
      <c r="AE70" s="4"/>
      <c r="AF70" s="4"/>
      <c r="AG70" s="4"/>
    </row>
    <row r="71" spans="1:33">
      <c r="A71" s="159"/>
      <c r="B71" s="159"/>
      <c r="C71" s="159"/>
      <c r="D71" s="159"/>
      <c r="E71" s="159"/>
      <c r="F71" s="173"/>
      <c r="G71" s="159"/>
      <c r="H71" s="159"/>
      <c r="I71" s="159"/>
      <c r="J71" s="159"/>
      <c r="K71" s="159"/>
      <c r="L71" s="159"/>
      <c r="M71" s="159"/>
      <c r="N71" s="159"/>
      <c r="O71" s="159"/>
      <c r="P71" s="159"/>
      <c r="Q71" s="160"/>
      <c r="R71" s="181"/>
      <c r="S71" s="181"/>
      <c r="T71" s="181"/>
      <c r="U71" s="182"/>
      <c r="V71" s="183"/>
      <c r="W71" s="184"/>
      <c r="X71" s="165"/>
      <c r="Y71" s="159"/>
      <c r="Z71" s="159"/>
      <c r="AA71" s="4"/>
      <c r="AB71" s="4"/>
      <c r="AC71" s="4"/>
      <c r="AD71" s="4"/>
      <c r="AE71" s="4"/>
      <c r="AF71" s="4"/>
      <c r="AG71" s="4"/>
    </row>
    <row r="72" spans="1:33">
      <c r="A72" s="159"/>
      <c r="B72" s="159"/>
      <c r="C72" s="159"/>
      <c r="D72" s="159"/>
      <c r="E72" s="159"/>
      <c r="F72" s="190"/>
      <c r="G72" s="159"/>
      <c r="H72" s="159"/>
      <c r="I72" s="159"/>
      <c r="J72" s="159"/>
      <c r="K72" s="159"/>
      <c r="L72" s="159"/>
      <c r="M72" s="159"/>
      <c r="N72" s="159"/>
      <c r="O72" s="159"/>
      <c r="P72" s="159"/>
      <c r="Q72" s="160"/>
      <c r="R72" s="181"/>
      <c r="S72" s="181"/>
      <c r="T72" s="181"/>
      <c r="U72" s="182"/>
      <c r="V72" s="183"/>
      <c r="W72" s="184"/>
      <c r="X72" s="165"/>
      <c r="Y72" s="159"/>
      <c r="Z72" s="159"/>
      <c r="AA72" s="4"/>
      <c r="AB72" s="4"/>
      <c r="AC72" s="4"/>
      <c r="AD72" s="4"/>
      <c r="AE72" s="4"/>
      <c r="AF72" s="4"/>
      <c r="AG72" s="4"/>
    </row>
    <row r="73" spans="1:33">
      <c r="A73" s="159"/>
      <c r="B73" s="159"/>
      <c r="C73" s="159"/>
      <c r="D73" s="159"/>
      <c r="E73" s="159"/>
      <c r="F73" s="173"/>
      <c r="G73" s="159"/>
      <c r="H73" s="159"/>
      <c r="I73" s="159"/>
      <c r="J73" s="159"/>
      <c r="K73" s="159"/>
      <c r="L73" s="159"/>
      <c r="M73" s="159"/>
      <c r="N73" s="159"/>
      <c r="O73" s="159"/>
      <c r="P73" s="159"/>
      <c r="Q73" s="160"/>
      <c r="R73" s="181"/>
      <c r="S73" s="181"/>
      <c r="T73" s="181"/>
      <c r="U73" s="182"/>
      <c r="V73" s="183"/>
      <c r="W73" s="184"/>
      <c r="X73" s="165"/>
      <c r="Y73" s="159"/>
      <c r="Z73" s="159"/>
      <c r="AA73" s="4"/>
      <c r="AB73" s="4"/>
      <c r="AC73" s="4"/>
      <c r="AD73" s="4"/>
      <c r="AE73" s="4"/>
      <c r="AF73" s="4"/>
      <c r="AG73" s="4"/>
    </row>
    <row r="74" spans="1:33">
      <c r="A74" s="159"/>
      <c r="B74" s="159"/>
      <c r="C74" s="159"/>
      <c r="D74" s="159"/>
      <c r="E74" s="159"/>
      <c r="F74" s="190"/>
      <c r="G74" s="159"/>
      <c r="H74" s="159"/>
      <c r="I74" s="159"/>
      <c r="J74" s="159"/>
      <c r="K74" s="159"/>
      <c r="L74" s="159"/>
      <c r="M74" s="159"/>
      <c r="N74" s="159"/>
      <c r="O74" s="159"/>
      <c r="P74" s="159"/>
      <c r="Q74" s="160"/>
      <c r="R74" s="181"/>
      <c r="S74" s="181"/>
      <c r="T74" s="181"/>
      <c r="U74" s="182"/>
      <c r="V74" s="183"/>
      <c r="W74" s="184"/>
      <c r="X74" s="165"/>
      <c r="Y74" s="159"/>
      <c r="Z74" s="159"/>
      <c r="AA74" s="4"/>
      <c r="AB74" s="4"/>
      <c r="AC74" s="4"/>
      <c r="AD74" s="4"/>
      <c r="AE74" s="4"/>
      <c r="AF74" s="4"/>
      <c r="AG74" s="4"/>
    </row>
    <row r="75" spans="1:33">
      <c r="A75" s="159"/>
      <c r="B75" s="159"/>
      <c r="C75" s="159"/>
      <c r="D75" s="159"/>
      <c r="E75" s="159"/>
      <c r="F75" s="173"/>
      <c r="G75" s="159"/>
      <c r="H75" s="159"/>
      <c r="I75" s="159"/>
      <c r="J75" s="159"/>
      <c r="K75" s="159"/>
      <c r="L75" s="159"/>
      <c r="M75" s="159"/>
      <c r="N75" s="159"/>
      <c r="O75" s="159"/>
      <c r="P75" s="159"/>
      <c r="Q75" s="160"/>
      <c r="R75" s="181"/>
      <c r="S75" s="181"/>
      <c r="T75" s="181"/>
      <c r="U75" s="182"/>
      <c r="V75" s="183"/>
      <c r="W75" s="184"/>
      <c r="X75" s="165"/>
      <c r="Y75" s="159"/>
      <c r="Z75" s="159"/>
      <c r="AA75" s="4"/>
      <c r="AB75" s="4"/>
      <c r="AC75" s="4"/>
      <c r="AD75" s="4"/>
      <c r="AE75" s="4"/>
      <c r="AF75" s="4"/>
      <c r="AG75" s="4"/>
    </row>
    <row r="76" spans="1:33">
      <c r="A76" s="159"/>
      <c r="B76" s="159"/>
      <c r="C76" s="159"/>
      <c r="D76" s="159"/>
      <c r="E76" s="159"/>
      <c r="F76" s="190"/>
      <c r="G76" s="159"/>
      <c r="H76" s="159"/>
      <c r="I76" s="159"/>
      <c r="J76" s="159"/>
      <c r="K76" s="159"/>
      <c r="L76" s="159"/>
      <c r="M76" s="159"/>
      <c r="N76" s="159"/>
      <c r="O76" s="159"/>
      <c r="P76" s="159"/>
      <c r="Q76" s="160"/>
      <c r="R76" s="181"/>
      <c r="S76" s="181"/>
      <c r="T76" s="181"/>
      <c r="U76" s="182"/>
      <c r="V76" s="183"/>
      <c r="W76" s="184"/>
      <c r="X76" s="165"/>
      <c r="Y76" s="159"/>
      <c r="Z76" s="159"/>
      <c r="AA76" s="4"/>
      <c r="AB76" s="4"/>
      <c r="AC76" s="4"/>
      <c r="AD76" s="4"/>
      <c r="AE76" s="4"/>
      <c r="AF76" s="4"/>
      <c r="AG76" s="4"/>
    </row>
    <row r="77" spans="1:33">
      <c r="A77" s="159"/>
      <c r="B77" s="159"/>
      <c r="C77" s="159"/>
      <c r="D77" s="159"/>
      <c r="E77" s="159"/>
      <c r="F77" s="173"/>
      <c r="G77" s="159"/>
      <c r="H77" s="159"/>
      <c r="I77" s="159"/>
      <c r="J77" s="159"/>
      <c r="K77" s="159"/>
      <c r="L77" s="159"/>
      <c r="M77" s="159"/>
      <c r="N77" s="159"/>
      <c r="O77" s="159"/>
      <c r="P77" s="159"/>
      <c r="Q77" s="160"/>
      <c r="R77" s="181"/>
      <c r="S77" s="181"/>
      <c r="T77" s="181"/>
      <c r="U77" s="182"/>
      <c r="V77" s="183"/>
      <c r="W77" s="184"/>
      <c r="X77" s="165"/>
      <c r="Y77" s="159"/>
      <c r="Z77" s="159"/>
      <c r="AA77" s="4"/>
      <c r="AB77" s="4"/>
      <c r="AC77" s="4"/>
      <c r="AD77" s="4"/>
      <c r="AE77" s="4"/>
      <c r="AF77" s="4"/>
      <c r="AG77" s="4"/>
    </row>
    <row r="78" spans="1:33">
      <c r="A78" s="159"/>
      <c r="B78" s="159"/>
      <c r="C78" s="159"/>
      <c r="D78" s="159"/>
      <c r="E78" s="159"/>
      <c r="F78" s="190"/>
      <c r="G78" s="159"/>
      <c r="H78" s="159"/>
      <c r="I78" s="159"/>
      <c r="J78" s="159"/>
      <c r="K78" s="159"/>
      <c r="L78" s="159"/>
      <c r="M78" s="159"/>
      <c r="N78" s="159"/>
      <c r="O78" s="159"/>
      <c r="P78" s="159"/>
      <c r="Q78" s="160"/>
      <c r="R78" s="181"/>
      <c r="S78" s="181"/>
      <c r="T78" s="181"/>
      <c r="U78" s="182"/>
      <c r="V78" s="183"/>
      <c r="W78" s="184"/>
      <c r="X78" s="165"/>
      <c r="Y78" s="159"/>
      <c r="Z78" s="159"/>
      <c r="AA78" s="4"/>
      <c r="AB78" s="4"/>
      <c r="AC78" s="4"/>
      <c r="AD78" s="4"/>
      <c r="AE78" s="4"/>
      <c r="AF78" s="4"/>
      <c r="AG78" s="4"/>
    </row>
    <row r="79" spans="1:33">
      <c r="A79" s="159"/>
      <c r="B79" s="159"/>
      <c r="C79" s="159"/>
      <c r="D79" s="159"/>
      <c r="E79" s="159"/>
      <c r="F79" s="173"/>
      <c r="G79" s="159"/>
      <c r="H79" s="159"/>
      <c r="I79" s="159"/>
      <c r="J79" s="159"/>
      <c r="K79" s="159"/>
      <c r="L79" s="159"/>
      <c r="M79" s="159"/>
      <c r="N79" s="159"/>
      <c r="O79" s="159"/>
      <c r="P79" s="159"/>
      <c r="Q79" s="160"/>
      <c r="R79" s="181"/>
      <c r="S79" s="181"/>
      <c r="T79" s="181"/>
      <c r="U79" s="182"/>
      <c r="V79" s="183"/>
      <c r="W79" s="184"/>
      <c r="X79" s="165"/>
      <c r="Y79" s="159"/>
      <c r="Z79" s="159"/>
      <c r="AA79" s="4"/>
      <c r="AB79" s="4"/>
      <c r="AC79" s="4"/>
      <c r="AD79" s="4"/>
      <c r="AE79" s="4"/>
      <c r="AF79" s="4"/>
      <c r="AG79" s="4"/>
    </row>
    <row r="80" spans="1:33">
      <c r="A80" s="159"/>
      <c r="B80" s="159"/>
      <c r="C80" s="159"/>
      <c r="D80" s="159"/>
      <c r="E80" s="159"/>
      <c r="F80" s="190"/>
      <c r="G80" s="159"/>
      <c r="H80" s="159"/>
      <c r="I80" s="159"/>
      <c r="J80" s="159"/>
      <c r="K80" s="159"/>
      <c r="L80" s="159"/>
      <c r="M80" s="159"/>
      <c r="N80" s="159"/>
      <c r="O80" s="159"/>
      <c r="P80" s="159"/>
      <c r="Q80" s="160"/>
      <c r="R80" s="181"/>
      <c r="S80" s="181"/>
      <c r="T80" s="181"/>
      <c r="U80" s="182"/>
      <c r="V80" s="183"/>
      <c r="W80" s="184"/>
      <c r="X80" s="165"/>
      <c r="Y80" s="159"/>
      <c r="Z80" s="159"/>
      <c r="AA80" s="4"/>
      <c r="AB80" s="4"/>
      <c r="AC80" s="4"/>
      <c r="AD80" s="4"/>
      <c r="AE80" s="4"/>
      <c r="AF80" s="4"/>
      <c r="AG80" s="4"/>
    </row>
    <row r="81" spans="1:33">
      <c r="A81" s="159"/>
      <c r="B81" s="159"/>
      <c r="C81" s="159"/>
      <c r="D81" s="159"/>
      <c r="E81" s="159"/>
      <c r="F81" s="173"/>
      <c r="G81" s="159"/>
      <c r="H81" s="159"/>
      <c r="I81" s="159"/>
      <c r="J81" s="159"/>
      <c r="K81" s="159"/>
      <c r="L81" s="159"/>
      <c r="M81" s="159"/>
      <c r="N81" s="159"/>
      <c r="O81" s="159"/>
      <c r="P81" s="159"/>
      <c r="Q81" s="160"/>
      <c r="R81" s="181"/>
      <c r="S81" s="181"/>
      <c r="T81" s="181"/>
      <c r="U81" s="182"/>
      <c r="V81" s="183"/>
      <c r="W81" s="184"/>
      <c r="X81" s="165"/>
      <c r="Y81" s="159"/>
      <c r="Z81" s="159"/>
      <c r="AA81" s="4"/>
      <c r="AB81" s="4"/>
      <c r="AC81" s="4"/>
      <c r="AD81" s="4"/>
      <c r="AE81" s="4"/>
      <c r="AF81" s="4"/>
      <c r="AG81" s="4"/>
    </row>
    <row r="82" spans="1:33">
      <c r="A82" s="159"/>
      <c r="B82" s="159"/>
      <c r="C82" s="159"/>
      <c r="D82" s="159"/>
      <c r="E82" s="159"/>
      <c r="F82" s="190"/>
      <c r="G82" s="159"/>
      <c r="H82" s="159"/>
      <c r="I82" s="159"/>
      <c r="J82" s="159"/>
      <c r="K82" s="159"/>
      <c r="L82" s="159"/>
      <c r="M82" s="159"/>
      <c r="N82" s="159"/>
      <c r="O82" s="159"/>
      <c r="P82" s="159"/>
      <c r="Q82" s="160"/>
      <c r="R82" s="181"/>
      <c r="S82" s="181"/>
      <c r="T82" s="181"/>
      <c r="U82" s="182"/>
      <c r="V82" s="183"/>
      <c r="W82" s="184"/>
      <c r="X82" s="165"/>
      <c r="Y82" s="159"/>
      <c r="Z82" s="159"/>
      <c r="AA82" s="4"/>
      <c r="AB82" s="4"/>
      <c r="AC82" s="4"/>
      <c r="AD82" s="4"/>
      <c r="AE82" s="4"/>
      <c r="AF82" s="4"/>
      <c r="AG82" s="4"/>
    </row>
    <row r="83" spans="1:33">
      <c r="A83" s="159"/>
      <c r="B83" s="159"/>
      <c r="C83" s="159"/>
      <c r="D83" s="159"/>
      <c r="E83" s="159"/>
      <c r="F83" s="173"/>
      <c r="G83" s="159"/>
      <c r="H83" s="159"/>
      <c r="I83" s="159"/>
      <c r="J83" s="159"/>
      <c r="K83" s="159"/>
      <c r="L83" s="159"/>
      <c r="M83" s="159"/>
      <c r="N83" s="159"/>
      <c r="O83" s="159"/>
      <c r="P83" s="159"/>
      <c r="Q83" s="160"/>
      <c r="R83" s="181"/>
      <c r="S83" s="181"/>
      <c r="T83" s="181"/>
      <c r="U83" s="182"/>
      <c r="V83" s="183"/>
      <c r="W83" s="184"/>
      <c r="X83" s="165"/>
      <c r="Y83" s="159"/>
      <c r="Z83" s="159"/>
      <c r="AA83" s="4"/>
      <c r="AB83" s="4"/>
      <c r="AC83" s="4"/>
      <c r="AD83" s="4"/>
      <c r="AE83" s="4"/>
      <c r="AF83" s="4"/>
      <c r="AG83" s="4"/>
    </row>
    <row r="84" spans="1:33">
      <c r="A84" s="159"/>
      <c r="B84" s="159"/>
      <c r="C84" s="159"/>
      <c r="D84" s="159"/>
      <c r="E84" s="159"/>
      <c r="F84" s="190"/>
      <c r="G84" s="159"/>
      <c r="H84" s="159"/>
      <c r="I84" s="159"/>
      <c r="J84" s="159"/>
      <c r="K84" s="159"/>
      <c r="L84" s="159"/>
      <c r="M84" s="159"/>
      <c r="N84" s="159"/>
      <c r="O84" s="159"/>
      <c r="P84" s="159"/>
      <c r="Q84" s="160"/>
      <c r="R84" s="181"/>
      <c r="S84" s="181"/>
      <c r="T84" s="181"/>
      <c r="U84" s="182"/>
      <c r="V84" s="183"/>
      <c r="W84" s="184"/>
      <c r="X84" s="165"/>
      <c r="Y84" s="159"/>
      <c r="Z84" s="159"/>
      <c r="AA84" s="4"/>
      <c r="AB84" s="4"/>
      <c r="AC84" s="4"/>
      <c r="AD84" s="4"/>
      <c r="AE84" s="4"/>
      <c r="AF84" s="4"/>
      <c r="AG84" s="4"/>
    </row>
    <row r="85" spans="1:33">
      <c r="A85" s="159"/>
      <c r="B85" s="159"/>
      <c r="C85" s="159"/>
      <c r="D85" s="159"/>
      <c r="E85" s="159"/>
      <c r="F85" s="173"/>
      <c r="G85" s="159"/>
      <c r="H85" s="159"/>
      <c r="I85" s="159"/>
      <c r="J85" s="159"/>
      <c r="K85" s="159"/>
      <c r="L85" s="159"/>
      <c r="M85" s="159"/>
      <c r="N85" s="159"/>
      <c r="O85" s="159"/>
      <c r="P85" s="159"/>
      <c r="Q85" s="160"/>
      <c r="R85" s="181"/>
      <c r="S85" s="181"/>
      <c r="T85" s="181"/>
      <c r="U85" s="182"/>
      <c r="V85" s="183"/>
      <c r="W85" s="184"/>
      <c r="X85" s="165"/>
      <c r="Y85" s="159"/>
      <c r="Z85" s="159"/>
      <c r="AA85" s="4"/>
      <c r="AB85" s="4"/>
      <c r="AC85" s="4"/>
      <c r="AD85" s="4"/>
      <c r="AE85" s="4"/>
      <c r="AF85" s="4"/>
      <c r="AG85" s="4"/>
    </row>
    <row r="86" spans="1:33">
      <c r="A86" s="159"/>
      <c r="B86" s="159"/>
      <c r="C86" s="159"/>
      <c r="D86" s="159"/>
      <c r="E86" s="159"/>
      <c r="F86" s="190"/>
      <c r="G86" s="159"/>
      <c r="H86" s="159"/>
      <c r="I86" s="159"/>
      <c r="J86" s="159"/>
      <c r="K86" s="159"/>
      <c r="L86" s="159"/>
      <c r="M86" s="159"/>
      <c r="N86" s="159"/>
      <c r="O86" s="159"/>
      <c r="P86" s="159"/>
      <c r="Q86" s="160"/>
      <c r="R86" s="181"/>
      <c r="S86" s="181"/>
      <c r="T86" s="181"/>
      <c r="U86" s="182"/>
      <c r="V86" s="183"/>
      <c r="W86" s="184"/>
      <c r="X86" s="165"/>
      <c r="Y86" s="159"/>
      <c r="Z86" s="159"/>
      <c r="AA86" s="4"/>
      <c r="AB86" s="4"/>
      <c r="AC86" s="4"/>
      <c r="AD86" s="4"/>
      <c r="AE86" s="4"/>
      <c r="AF86" s="4"/>
      <c r="AG86" s="4"/>
    </row>
    <row r="87" spans="1:33">
      <c r="A87" s="159"/>
      <c r="B87" s="159"/>
      <c r="C87" s="159"/>
      <c r="D87" s="159"/>
      <c r="E87" s="159"/>
      <c r="F87" s="173"/>
      <c r="G87" s="159"/>
      <c r="H87" s="159"/>
      <c r="I87" s="159"/>
      <c r="J87" s="159"/>
      <c r="K87" s="159"/>
      <c r="L87" s="159"/>
      <c r="M87" s="159"/>
      <c r="N87" s="159"/>
      <c r="O87" s="159"/>
      <c r="P87" s="159"/>
      <c r="Q87" s="160"/>
      <c r="R87" s="181"/>
      <c r="S87" s="181"/>
      <c r="T87" s="181"/>
      <c r="U87" s="182"/>
      <c r="V87" s="183"/>
      <c r="W87" s="184"/>
      <c r="X87" s="165"/>
      <c r="Y87" s="159"/>
      <c r="Z87" s="159"/>
      <c r="AA87" s="4"/>
      <c r="AB87" s="4"/>
      <c r="AC87" s="4"/>
      <c r="AD87" s="4"/>
      <c r="AE87" s="4"/>
      <c r="AF87" s="4"/>
      <c r="AG87" s="4"/>
    </row>
    <row r="88" spans="1:33">
      <c r="A88" s="159"/>
      <c r="B88" s="159"/>
      <c r="C88" s="159"/>
      <c r="D88" s="159"/>
      <c r="E88" s="159"/>
      <c r="F88" s="190"/>
      <c r="G88" s="159"/>
      <c r="H88" s="159"/>
      <c r="I88" s="159"/>
      <c r="J88" s="159"/>
      <c r="K88" s="159"/>
      <c r="L88" s="159"/>
      <c r="M88" s="159"/>
      <c r="N88" s="159"/>
      <c r="O88" s="159"/>
      <c r="P88" s="159"/>
      <c r="Q88" s="160"/>
      <c r="R88" s="181"/>
      <c r="S88" s="181"/>
      <c r="T88" s="181"/>
      <c r="U88" s="182"/>
      <c r="V88" s="183"/>
      <c r="W88" s="184"/>
      <c r="X88" s="165"/>
      <c r="Y88" s="159"/>
      <c r="Z88" s="159"/>
      <c r="AA88" s="4"/>
      <c r="AB88" s="4"/>
      <c r="AC88" s="4"/>
      <c r="AD88" s="4"/>
      <c r="AE88" s="4"/>
      <c r="AF88" s="4"/>
      <c r="AG88" s="4"/>
    </row>
    <row r="89" spans="1:33">
      <c r="A89" s="159"/>
      <c r="B89" s="159"/>
      <c r="C89" s="159"/>
      <c r="D89" s="159"/>
      <c r="E89" s="159"/>
      <c r="F89" s="173"/>
      <c r="G89" s="159"/>
      <c r="H89" s="159"/>
      <c r="I89" s="159"/>
      <c r="J89" s="159"/>
      <c r="K89" s="159"/>
      <c r="L89" s="159"/>
      <c r="M89" s="159"/>
      <c r="N89" s="159"/>
      <c r="O89" s="159"/>
      <c r="P89" s="159"/>
      <c r="Q89" s="160"/>
      <c r="R89" s="181"/>
      <c r="S89" s="181"/>
      <c r="T89" s="181"/>
      <c r="U89" s="182"/>
      <c r="V89" s="183"/>
      <c r="W89" s="184"/>
      <c r="X89" s="165"/>
      <c r="Y89" s="159"/>
      <c r="Z89" s="159"/>
      <c r="AA89" s="4"/>
      <c r="AB89" s="4"/>
      <c r="AC89" s="4"/>
      <c r="AD89" s="4"/>
      <c r="AE89" s="4"/>
      <c r="AF89" s="4"/>
      <c r="AG89" s="4"/>
    </row>
    <row r="90" spans="1:33">
      <c r="A90" s="159"/>
      <c r="B90" s="159"/>
      <c r="C90" s="159"/>
      <c r="D90" s="159"/>
      <c r="E90" s="159"/>
      <c r="F90" s="190"/>
      <c r="G90" s="159"/>
      <c r="H90" s="159"/>
      <c r="I90" s="159"/>
      <c r="J90" s="159"/>
      <c r="K90" s="159"/>
      <c r="L90" s="159"/>
      <c r="M90" s="159"/>
      <c r="N90" s="159"/>
      <c r="O90" s="159"/>
      <c r="P90" s="159"/>
      <c r="Q90" s="160"/>
      <c r="R90" s="181"/>
      <c r="S90" s="181"/>
      <c r="T90" s="181"/>
      <c r="U90" s="182"/>
      <c r="V90" s="183"/>
      <c r="W90" s="184"/>
      <c r="X90" s="165"/>
      <c r="Y90" s="159"/>
      <c r="Z90" s="159"/>
      <c r="AA90" s="4"/>
      <c r="AB90" s="4"/>
      <c r="AC90" s="4"/>
      <c r="AD90" s="4"/>
      <c r="AE90" s="4"/>
      <c r="AF90" s="4"/>
      <c r="AG90" s="4"/>
    </row>
    <row r="91" spans="1:33">
      <c r="A91" s="159"/>
      <c r="B91" s="159"/>
      <c r="C91" s="159"/>
      <c r="D91" s="159"/>
      <c r="E91" s="159"/>
      <c r="F91" s="173"/>
      <c r="G91" s="159"/>
      <c r="H91" s="159"/>
      <c r="I91" s="159"/>
      <c r="J91" s="159"/>
      <c r="K91" s="159"/>
      <c r="L91" s="159"/>
      <c r="M91" s="159"/>
      <c r="N91" s="159"/>
      <c r="O91" s="159"/>
      <c r="P91" s="159"/>
      <c r="Q91" s="160"/>
      <c r="R91" s="181"/>
      <c r="S91" s="181"/>
      <c r="T91" s="181"/>
      <c r="U91" s="182"/>
      <c r="V91" s="183"/>
      <c r="W91" s="184"/>
      <c r="X91" s="165"/>
      <c r="Y91" s="159"/>
      <c r="Z91" s="159"/>
      <c r="AA91" s="4"/>
      <c r="AB91" s="4"/>
      <c r="AC91" s="4"/>
      <c r="AD91" s="4"/>
      <c r="AE91" s="4"/>
      <c r="AF91" s="4"/>
      <c r="AG91" s="4"/>
    </row>
    <row r="92" spans="1:33">
      <c r="A92" s="159"/>
      <c r="B92" s="159"/>
      <c r="C92" s="159"/>
      <c r="D92" s="159"/>
      <c r="E92" s="159"/>
      <c r="F92" s="195"/>
      <c r="G92" s="159"/>
      <c r="H92" s="159"/>
      <c r="I92" s="159"/>
      <c r="J92" s="159"/>
      <c r="K92" s="159"/>
      <c r="L92" s="159"/>
      <c r="M92" s="159"/>
      <c r="N92" s="159"/>
      <c r="O92" s="159"/>
      <c r="P92" s="159"/>
      <c r="Q92" s="160"/>
      <c r="R92" s="181"/>
      <c r="S92" s="181"/>
      <c r="T92" s="181"/>
      <c r="U92" s="182"/>
      <c r="V92" s="183"/>
      <c r="W92" s="184"/>
      <c r="X92" s="165"/>
      <c r="Y92" s="159"/>
      <c r="Z92" s="159"/>
      <c r="AA92" s="4"/>
      <c r="AB92" s="4"/>
      <c r="AC92" s="4"/>
      <c r="AD92" s="4"/>
      <c r="AE92" s="4"/>
      <c r="AF92" s="4"/>
      <c r="AG92" s="4"/>
    </row>
    <row r="93" spans="1:33">
      <c r="A93" s="159"/>
      <c r="B93" s="159"/>
      <c r="C93" s="159"/>
      <c r="D93" s="159"/>
      <c r="E93" s="159"/>
      <c r="F93" s="173"/>
      <c r="G93" s="159"/>
      <c r="H93" s="159"/>
      <c r="I93" s="159"/>
      <c r="J93" s="159"/>
      <c r="K93" s="159"/>
      <c r="L93" s="159"/>
      <c r="M93" s="159"/>
      <c r="N93" s="159"/>
      <c r="O93" s="159"/>
      <c r="P93" s="159"/>
      <c r="Q93" s="160"/>
      <c r="R93" s="181"/>
      <c r="S93" s="181"/>
      <c r="T93" s="181"/>
      <c r="U93" s="182"/>
      <c r="V93" s="183"/>
      <c r="W93" s="184"/>
      <c r="X93" s="165"/>
      <c r="Y93" s="159"/>
      <c r="Z93" s="159"/>
      <c r="AA93" s="4"/>
      <c r="AB93" s="4"/>
      <c r="AC93" s="4"/>
      <c r="AD93" s="4"/>
      <c r="AE93" s="4"/>
      <c r="AF93" s="4"/>
      <c r="AG93" s="4"/>
    </row>
    <row r="94" spans="1:33">
      <c r="A94" s="159"/>
      <c r="B94" s="159"/>
      <c r="C94" s="159"/>
      <c r="D94" s="159"/>
      <c r="E94" s="159"/>
      <c r="F94" s="190"/>
      <c r="G94" s="159"/>
      <c r="H94" s="159"/>
      <c r="I94" s="159"/>
      <c r="J94" s="159"/>
      <c r="K94" s="159"/>
      <c r="L94" s="159"/>
      <c r="M94" s="159"/>
      <c r="N94" s="159"/>
      <c r="O94" s="159"/>
      <c r="P94" s="159"/>
      <c r="Q94" s="160"/>
      <c r="R94" s="181"/>
      <c r="S94" s="181"/>
      <c r="T94" s="181"/>
      <c r="U94" s="182"/>
      <c r="V94" s="183"/>
      <c r="W94" s="184"/>
      <c r="X94" s="165"/>
      <c r="Y94" s="159"/>
      <c r="Z94" s="159"/>
      <c r="AA94" s="4"/>
      <c r="AB94" s="4"/>
      <c r="AC94" s="4"/>
      <c r="AD94" s="4"/>
      <c r="AE94" s="4"/>
      <c r="AF94" s="4"/>
      <c r="AG94" s="4"/>
    </row>
    <row r="95" spans="1:33">
      <c r="A95" s="159"/>
      <c r="B95" s="159"/>
      <c r="C95" s="159"/>
      <c r="D95" s="159"/>
      <c r="E95" s="159"/>
      <c r="F95" s="173"/>
      <c r="G95" s="159"/>
      <c r="H95" s="159"/>
      <c r="I95" s="159"/>
      <c r="J95" s="159"/>
      <c r="K95" s="159"/>
      <c r="L95" s="159"/>
      <c r="M95" s="159"/>
      <c r="N95" s="159"/>
      <c r="O95" s="159"/>
      <c r="P95" s="159"/>
      <c r="Q95" s="160"/>
      <c r="R95" s="181"/>
      <c r="S95" s="181"/>
      <c r="T95" s="181"/>
      <c r="U95" s="182"/>
      <c r="V95" s="183"/>
      <c r="W95" s="184"/>
      <c r="X95" s="165"/>
      <c r="Y95" s="159"/>
      <c r="Z95" s="159"/>
      <c r="AA95" s="4"/>
      <c r="AB95" s="4"/>
      <c r="AC95" s="4"/>
      <c r="AD95" s="4"/>
      <c r="AE95" s="4"/>
      <c r="AF95" s="4"/>
      <c r="AG95" s="4"/>
    </row>
    <row r="96" spans="1:33">
      <c r="A96" s="159"/>
      <c r="B96" s="159"/>
      <c r="C96" s="159"/>
      <c r="D96" s="159"/>
      <c r="E96" s="159"/>
      <c r="F96" s="190"/>
      <c r="G96" s="159"/>
      <c r="H96" s="159"/>
      <c r="I96" s="159"/>
      <c r="J96" s="159"/>
      <c r="K96" s="159"/>
      <c r="L96" s="159"/>
      <c r="M96" s="159"/>
      <c r="N96" s="159"/>
      <c r="O96" s="159"/>
      <c r="P96" s="159"/>
      <c r="Q96" s="160"/>
      <c r="R96" s="181"/>
      <c r="S96" s="181"/>
      <c r="T96" s="181"/>
      <c r="U96" s="182"/>
      <c r="V96" s="183"/>
      <c r="W96" s="184"/>
      <c r="X96" s="165"/>
      <c r="Y96" s="159"/>
      <c r="Z96" s="159"/>
      <c r="AA96" s="4"/>
      <c r="AB96" s="4"/>
      <c r="AC96" s="4"/>
      <c r="AD96" s="4"/>
      <c r="AE96" s="4"/>
      <c r="AF96" s="4"/>
      <c r="AG96" s="4"/>
    </row>
    <row r="97" spans="1:33">
      <c r="A97" s="159"/>
      <c r="B97" s="159"/>
      <c r="C97" s="159"/>
      <c r="D97" s="159"/>
      <c r="E97" s="159"/>
      <c r="F97" s="173"/>
      <c r="G97" s="159"/>
      <c r="H97" s="159"/>
      <c r="I97" s="159"/>
      <c r="J97" s="159"/>
      <c r="K97" s="159"/>
      <c r="L97" s="159"/>
      <c r="M97" s="159"/>
      <c r="N97" s="159"/>
      <c r="O97" s="159"/>
      <c r="P97" s="159"/>
      <c r="Q97" s="160"/>
      <c r="R97" s="181"/>
      <c r="S97" s="181"/>
      <c r="T97" s="181"/>
      <c r="U97" s="182"/>
      <c r="V97" s="183"/>
      <c r="W97" s="184"/>
      <c r="X97" s="165"/>
      <c r="Y97" s="159"/>
      <c r="Z97" s="159"/>
      <c r="AA97" s="4"/>
      <c r="AB97" s="4"/>
      <c r="AC97" s="4"/>
      <c r="AD97" s="4"/>
      <c r="AE97" s="4"/>
      <c r="AF97" s="4"/>
      <c r="AG97" s="4"/>
    </row>
    <row r="98" spans="1:33">
      <c r="A98" s="159"/>
      <c r="B98" s="159"/>
      <c r="C98" s="159"/>
      <c r="D98" s="159"/>
      <c r="E98" s="159"/>
      <c r="F98" s="190"/>
      <c r="G98" s="159"/>
      <c r="H98" s="159"/>
      <c r="I98" s="159"/>
      <c r="J98" s="159"/>
      <c r="K98" s="159"/>
      <c r="L98" s="159"/>
      <c r="M98" s="159"/>
      <c r="N98" s="159"/>
      <c r="O98" s="159"/>
      <c r="P98" s="159"/>
      <c r="Q98" s="160"/>
      <c r="R98" s="181"/>
      <c r="S98" s="181"/>
      <c r="T98" s="181"/>
      <c r="U98" s="182"/>
      <c r="V98" s="183"/>
      <c r="W98" s="184"/>
      <c r="X98" s="165"/>
      <c r="Y98" s="159"/>
      <c r="Z98" s="159"/>
      <c r="AA98" s="4"/>
      <c r="AB98" s="4"/>
      <c r="AC98" s="4"/>
      <c r="AD98" s="4"/>
      <c r="AE98" s="4"/>
      <c r="AF98" s="4"/>
      <c r="AG98" s="4"/>
    </row>
    <row r="99" spans="1:33">
      <c r="A99" s="159"/>
      <c r="B99" s="159"/>
      <c r="C99" s="159"/>
      <c r="D99" s="159"/>
      <c r="E99" s="159"/>
      <c r="F99" s="173"/>
      <c r="G99" s="159"/>
      <c r="H99" s="159"/>
      <c r="I99" s="159"/>
      <c r="J99" s="159"/>
      <c r="K99" s="159"/>
      <c r="L99" s="159"/>
      <c r="M99" s="159"/>
      <c r="N99" s="159"/>
      <c r="O99" s="159"/>
      <c r="P99" s="159"/>
      <c r="Q99" s="160"/>
      <c r="R99" s="181"/>
      <c r="S99" s="181"/>
      <c r="T99" s="181"/>
      <c r="U99" s="182"/>
      <c r="V99" s="183"/>
      <c r="W99" s="184"/>
      <c r="X99" s="165"/>
      <c r="Y99" s="159"/>
      <c r="Z99" s="159"/>
      <c r="AA99" s="4"/>
      <c r="AB99" s="4"/>
      <c r="AC99" s="4"/>
      <c r="AD99" s="4"/>
      <c r="AE99" s="4"/>
      <c r="AF99" s="4"/>
      <c r="AG99" s="4"/>
    </row>
    <row r="100" spans="1:33">
      <c r="A100" s="159"/>
      <c r="B100" s="159"/>
      <c r="C100" s="159"/>
      <c r="D100" s="159"/>
      <c r="E100" s="159"/>
      <c r="F100" s="190"/>
      <c r="G100" s="159"/>
      <c r="H100" s="159"/>
      <c r="I100" s="159"/>
      <c r="J100" s="159"/>
      <c r="K100" s="159"/>
      <c r="L100" s="159"/>
      <c r="M100" s="159"/>
      <c r="N100" s="159"/>
      <c r="O100" s="159"/>
      <c r="P100" s="159"/>
      <c r="Q100" s="160"/>
      <c r="R100" s="181"/>
      <c r="S100" s="181"/>
      <c r="T100" s="181"/>
      <c r="U100" s="182"/>
      <c r="V100" s="183"/>
      <c r="W100" s="184"/>
      <c r="X100" s="165"/>
      <c r="Y100" s="159"/>
      <c r="Z100" s="159"/>
      <c r="AA100" s="4"/>
      <c r="AB100" s="4"/>
      <c r="AC100" s="4"/>
      <c r="AD100" s="4"/>
      <c r="AE100" s="4"/>
      <c r="AF100" s="4"/>
      <c r="AG100" s="4"/>
    </row>
    <row r="101" spans="1:33">
      <c r="A101" s="159"/>
      <c r="B101" s="159"/>
      <c r="C101" s="159"/>
      <c r="D101" s="159"/>
      <c r="E101" s="159"/>
      <c r="F101" s="173"/>
      <c r="G101" s="159"/>
      <c r="H101" s="159"/>
      <c r="I101" s="159"/>
      <c r="J101" s="159"/>
      <c r="K101" s="159"/>
      <c r="L101" s="159"/>
      <c r="M101" s="159"/>
      <c r="N101" s="159"/>
      <c r="O101" s="159"/>
      <c r="P101" s="159"/>
      <c r="Q101" s="160"/>
      <c r="R101" s="181"/>
      <c r="S101" s="181"/>
      <c r="T101" s="181"/>
      <c r="U101" s="182"/>
      <c r="V101" s="183"/>
      <c r="W101" s="184"/>
      <c r="X101" s="165"/>
      <c r="Y101" s="159"/>
      <c r="Z101" s="159"/>
      <c r="AA101" s="4"/>
      <c r="AB101" s="4"/>
      <c r="AC101" s="4"/>
      <c r="AD101" s="4"/>
      <c r="AE101" s="4"/>
      <c r="AF101" s="4"/>
      <c r="AG101" s="4"/>
    </row>
    <row r="102" spans="1:33">
      <c r="A102" s="159"/>
      <c r="B102" s="159"/>
      <c r="C102" s="159"/>
      <c r="D102" s="159"/>
      <c r="E102" s="159"/>
      <c r="F102" s="190"/>
      <c r="G102" s="159"/>
      <c r="H102" s="159"/>
      <c r="I102" s="159"/>
      <c r="J102" s="159"/>
      <c r="K102" s="159"/>
      <c r="L102" s="159"/>
      <c r="M102" s="159"/>
      <c r="N102" s="159"/>
      <c r="O102" s="159"/>
      <c r="P102" s="159"/>
      <c r="Q102" s="160"/>
      <c r="R102" s="181"/>
      <c r="S102" s="181"/>
      <c r="T102" s="181"/>
      <c r="U102" s="182"/>
      <c r="V102" s="183"/>
      <c r="W102" s="184"/>
      <c r="X102" s="165"/>
      <c r="Y102" s="159"/>
      <c r="Z102" s="159"/>
      <c r="AA102" s="4"/>
      <c r="AB102" s="4"/>
      <c r="AC102" s="4"/>
      <c r="AD102" s="4"/>
      <c r="AE102" s="4"/>
      <c r="AF102" s="4"/>
      <c r="AG102" s="4"/>
    </row>
    <row r="103" spans="1:33">
      <c r="A103" s="159"/>
      <c r="B103" s="159"/>
      <c r="C103" s="159"/>
      <c r="D103" s="159"/>
      <c r="E103" s="159"/>
      <c r="F103" s="173"/>
      <c r="G103" s="159"/>
      <c r="H103" s="159"/>
      <c r="I103" s="159"/>
      <c r="J103" s="159"/>
      <c r="K103" s="159"/>
      <c r="L103" s="159"/>
      <c r="M103" s="159"/>
      <c r="N103" s="159"/>
      <c r="O103" s="159"/>
      <c r="P103" s="159"/>
      <c r="Q103" s="160"/>
      <c r="R103" s="181"/>
      <c r="S103" s="181"/>
      <c r="T103" s="181"/>
      <c r="U103" s="182"/>
      <c r="V103" s="183"/>
      <c r="W103" s="184"/>
      <c r="X103" s="165"/>
      <c r="Y103" s="159"/>
      <c r="Z103" s="159"/>
      <c r="AA103" s="4"/>
      <c r="AB103" s="4"/>
      <c r="AC103" s="4"/>
      <c r="AD103" s="4"/>
      <c r="AE103" s="4"/>
      <c r="AF103" s="4"/>
      <c r="AG103" s="4"/>
    </row>
    <row r="104" spans="1:33">
      <c r="A104" s="159"/>
      <c r="B104" s="159"/>
      <c r="C104" s="159"/>
      <c r="D104" s="159"/>
      <c r="E104" s="159"/>
      <c r="F104" s="190"/>
      <c r="G104" s="159"/>
      <c r="H104" s="159"/>
      <c r="I104" s="159"/>
      <c r="J104" s="159"/>
      <c r="K104" s="159"/>
      <c r="L104" s="159"/>
      <c r="M104" s="159"/>
      <c r="N104" s="159"/>
      <c r="O104" s="159"/>
      <c r="P104" s="159"/>
      <c r="Q104" s="160"/>
      <c r="R104" s="181"/>
      <c r="S104" s="181"/>
      <c r="T104" s="181"/>
      <c r="U104" s="182"/>
      <c r="V104" s="183"/>
      <c r="W104" s="184"/>
      <c r="X104" s="165"/>
      <c r="Y104" s="159"/>
      <c r="Z104" s="159"/>
      <c r="AA104" s="4"/>
      <c r="AB104" s="4"/>
      <c r="AC104" s="4"/>
      <c r="AD104" s="4"/>
      <c r="AE104" s="4"/>
      <c r="AF104" s="4"/>
      <c r="AG104" s="4"/>
    </row>
    <row r="105" spans="1:33">
      <c r="A105" s="159"/>
      <c r="B105" s="159"/>
      <c r="C105" s="159"/>
      <c r="D105" s="159"/>
      <c r="E105" s="159"/>
      <c r="F105" s="173"/>
      <c r="G105" s="159"/>
      <c r="H105" s="159"/>
      <c r="I105" s="159"/>
      <c r="J105" s="159"/>
      <c r="K105" s="159"/>
      <c r="L105" s="159"/>
      <c r="M105" s="159"/>
      <c r="N105" s="159"/>
      <c r="O105" s="159"/>
      <c r="P105" s="159"/>
      <c r="Q105" s="160"/>
      <c r="R105" s="181"/>
      <c r="S105" s="181"/>
      <c r="T105" s="181"/>
      <c r="U105" s="182"/>
      <c r="V105" s="183"/>
      <c r="W105" s="184"/>
      <c r="X105" s="165"/>
      <c r="Y105" s="159"/>
      <c r="Z105" s="159"/>
      <c r="AA105" s="4"/>
      <c r="AB105" s="4"/>
      <c r="AC105" s="4"/>
      <c r="AD105" s="4"/>
      <c r="AE105" s="4"/>
      <c r="AF105" s="4"/>
      <c r="AG105" s="4"/>
    </row>
    <row r="106" spans="1:33">
      <c r="A106" s="159"/>
      <c r="B106" s="159"/>
      <c r="C106" s="159"/>
      <c r="D106" s="159"/>
      <c r="E106" s="159"/>
      <c r="F106" s="190"/>
      <c r="G106" s="159"/>
      <c r="H106" s="159"/>
      <c r="I106" s="159"/>
      <c r="J106" s="159"/>
      <c r="K106" s="159"/>
      <c r="L106" s="159"/>
      <c r="M106" s="159"/>
      <c r="N106" s="159"/>
      <c r="O106" s="159"/>
      <c r="P106" s="159"/>
      <c r="Q106" s="160"/>
      <c r="R106" s="181"/>
      <c r="S106" s="181"/>
      <c r="T106" s="181"/>
      <c r="U106" s="182"/>
      <c r="V106" s="183"/>
      <c r="W106" s="184"/>
      <c r="X106" s="165"/>
      <c r="Y106" s="159"/>
      <c r="Z106" s="159"/>
      <c r="AA106" s="4"/>
      <c r="AB106" s="4"/>
      <c r="AC106" s="4"/>
      <c r="AD106" s="4"/>
      <c r="AE106" s="4"/>
      <c r="AF106" s="4"/>
      <c r="AG106" s="4"/>
    </row>
    <row r="107" spans="1:33">
      <c r="A107" s="159"/>
      <c r="B107" s="159"/>
      <c r="C107" s="159"/>
      <c r="D107" s="159"/>
      <c r="E107" s="159"/>
      <c r="F107" s="173"/>
      <c r="G107" s="159"/>
      <c r="H107" s="159"/>
      <c r="I107" s="159"/>
      <c r="J107" s="159"/>
      <c r="K107" s="159"/>
      <c r="L107" s="159"/>
      <c r="M107" s="159"/>
      <c r="N107" s="159"/>
      <c r="O107" s="159"/>
      <c r="P107" s="159"/>
      <c r="Q107" s="160"/>
      <c r="R107" s="181"/>
      <c r="S107" s="181"/>
      <c r="T107" s="181"/>
      <c r="U107" s="182"/>
      <c r="V107" s="183"/>
      <c r="W107" s="184"/>
      <c r="X107" s="165"/>
      <c r="Y107" s="159"/>
      <c r="Z107" s="159"/>
      <c r="AA107" s="4"/>
      <c r="AB107" s="4"/>
      <c r="AC107" s="4"/>
      <c r="AD107" s="4"/>
      <c r="AE107" s="4"/>
      <c r="AF107" s="4"/>
      <c r="AG107" s="4"/>
    </row>
    <row r="108" spans="1:33">
      <c r="A108" s="159"/>
      <c r="B108" s="159"/>
      <c r="C108" s="159"/>
      <c r="D108" s="159"/>
      <c r="E108" s="159"/>
      <c r="F108" s="190"/>
      <c r="G108" s="159"/>
      <c r="H108" s="159"/>
      <c r="I108" s="159"/>
      <c r="J108" s="159"/>
      <c r="K108" s="159"/>
      <c r="L108" s="159"/>
      <c r="M108" s="159"/>
      <c r="N108" s="159"/>
      <c r="O108" s="159"/>
      <c r="P108" s="159"/>
      <c r="Q108" s="160"/>
      <c r="R108" s="181"/>
      <c r="S108" s="181"/>
      <c r="T108" s="181"/>
      <c r="U108" s="182"/>
      <c r="V108" s="183"/>
      <c r="W108" s="184"/>
      <c r="X108" s="165"/>
      <c r="Y108" s="159"/>
      <c r="Z108" s="159"/>
      <c r="AA108" s="4"/>
      <c r="AB108" s="4"/>
      <c r="AC108" s="4"/>
      <c r="AD108" s="4"/>
      <c r="AE108" s="4"/>
      <c r="AF108" s="4"/>
      <c r="AG108" s="4"/>
    </row>
    <row r="109" spans="1:33">
      <c r="A109" s="159"/>
      <c r="B109" s="159"/>
      <c r="C109" s="159"/>
      <c r="D109" s="159"/>
      <c r="E109" s="159"/>
      <c r="F109" s="173"/>
      <c r="G109" s="159"/>
      <c r="H109" s="159"/>
      <c r="I109" s="159"/>
      <c r="J109" s="159"/>
      <c r="K109" s="159"/>
      <c r="L109" s="159"/>
      <c r="M109" s="159"/>
      <c r="N109" s="159"/>
      <c r="O109" s="159"/>
      <c r="P109" s="159"/>
      <c r="Q109" s="160"/>
      <c r="R109" s="181"/>
      <c r="S109" s="181"/>
      <c r="T109" s="181"/>
      <c r="U109" s="182"/>
      <c r="V109" s="183"/>
      <c r="W109" s="184"/>
      <c r="X109" s="165"/>
      <c r="Y109" s="159"/>
      <c r="Z109" s="159"/>
      <c r="AA109" s="4"/>
      <c r="AB109" s="4"/>
      <c r="AC109" s="4"/>
      <c r="AD109" s="4"/>
      <c r="AE109" s="4"/>
      <c r="AF109" s="4"/>
      <c r="AG109" s="4"/>
    </row>
    <row r="110" spans="1:33">
      <c r="A110" s="159"/>
      <c r="B110" s="159"/>
      <c r="C110" s="159"/>
      <c r="D110" s="159"/>
      <c r="E110" s="159"/>
      <c r="F110" s="190"/>
      <c r="G110" s="159"/>
      <c r="H110" s="159"/>
      <c r="I110" s="159"/>
      <c r="J110" s="159"/>
      <c r="K110" s="159"/>
      <c r="L110" s="159"/>
      <c r="M110" s="159"/>
      <c r="N110" s="159"/>
      <c r="O110" s="159"/>
      <c r="P110" s="159"/>
      <c r="Q110" s="160"/>
      <c r="R110" s="181"/>
      <c r="S110" s="181"/>
      <c r="T110" s="181"/>
      <c r="U110" s="182"/>
      <c r="V110" s="183"/>
      <c r="W110" s="184"/>
      <c r="X110" s="165"/>
      <c r="Y110" s="159"/>
      <c r="Z110" s="159"/>
      <c r="AA110" s="4"/>
      <c r="AB110" s="4"/>
      <c r="AC110" s="4"/>
      <c r="AD110" s="4"/>
      <c r="AE110" s="4"/>
      <c r="AF110" s="4"/>
      <c r="AG110" s="4"/>
    </row>
    <row r="111" spans="1:33">
      <c r="A111" s="159"/>
      <c r="B111" s="159"/>
      <c r="C111" s="159"/>
      <c r="D111" s="159"/>
      <c r="E111" s="159"/>
      <c r="F111" s="173"/>
      <c r="G111" s="159"/>
      <c r="H111" s="159"/>
      <c r="I111" s="159"/>
      <c r="J111" s="159"/>
      <c r="K111" s="159"/>
      <c r="L111" s="159"/>
      <c r="M111" s="159"/>
      <c r="N111" s="159"/>
      <c r="O111" s="159"/>
      <c r="P111" s="159"/>
      <c r="Q111" s="160"/>
      <c r="R111" s="181"/>
      <c r="S111" s="181"/>
      <c r="T111" s="181"/>
      <c r="U111" s="182"/>
      <c r="V111" s="183"/>
      <c r="W111" s="184"/>
      <c r="X111" s="165"/>
      <c r="Y111" s="159"/>
      <c r="Z111" s="159"/>
      <c r="AA111" s="4"/>
      <c r="AB111" s="4"/>
      <c r="AC111" s="4"/>
      <c r="AD111" s="4"/>
      <c r="AE111" s="4"/>
      <c r="AF111" s="4"/>
      <c r="AG111" s="4"/>
    </row>
    <row r="112" spans="1:33">
      <c r="A112" s="159"/>
      <c r="B112" s="159"/>
      <c r="C112" s="159"/>
      <c r="D112" s="159"/>
      <c r="E112" s="159"/>
      <c r="F112" s="190"/>
      <c r="G112" s="159"/>
      <c r="H112" s="159"/>
      <c r="I112" s="159"/>
      <c r="J112" s="159"/>
      <c r="K112" s="159"/>
      <c r="L112" s="159"/>
      <c r="M112" s="159"/>
      <c r="N112" s="159"/>
      <c r="O112" s="159"/>
      <c r="P112" s="159"/>
      <c r="Q112" s="160"/>
      <c r="R112" s="181"/>
      <c r="S112" s="181"/>
      <c r="T112" s="181"/>
      <c r="U112" s="182"/>
      <c r="V112" s="183"/>
      <c r="W112" s="184"/>
      <c r="X112" s="165"/>
      <c r="Y112" s="159"/>
      <c r="Z112" s="159"/>
      <c r="AA112" s="4"/>
      <c r="AB112" s="4"/>
      <c r="AC112" s="4"/>
      <c r="AD112" s="4"/>
      <c r="AE112" s="4"/>
      <c r="AF112" s="4"/>
      <c r="AG112" s="4"/>
    </row>
    <row r="113" spans="1:33">
      <c r="A113" s="159"/>
      <c r="B113" s="159"/>
      <c r="C113" s="159"/>
      <c r="D113" s="159"/>
      <c r="E113" s="159"/>
      <c r="F113" s="173"/>
      <c r="G113" s="159"/>
      <c r="H113" s="159"/>
      <c r="I113" s="159"/>
      <c r="J113" s="159"/>
      <c r="K113" s="159"/>
      <c r="L113" s="159"/>
      <c r="M113" s="159"/>
      <c r="N113" s="159"/>
      <c r="O113" s="159"/>
      <c r="P113" s="159"/>
      <c r="Q113" s="160"/>
      <c r="R113" s="181"/>
      <c r="S113" s="181"/>
      <c r="T113" s="181"/>
      <c r="U113" s="182"/>
      <c r="V113" s="183"/>
      <c r="W113" s="184"/>
      <c r="X113" s="165"/>
      <c r="Y113" s="159"/>
      <c r="Z113" s="159"/>
      <c r="AA113" s="4"/>
      <c r="AB113" s="4"/>
      <c r="AC113" s="4"/>
      <c r="AD113" s="4"/>
      <c r="AE113" s="4"/>
      <c r="AF113" s="4"/>
      <c r="AG113" s="4"/>
    </row>
    <row r="114" spans="1:33">
      <c r="A114" s="159"/>
      <c r="B114" s="159"/>
      <c r="C114" s="159"/>
      <c r="D114" s="159"/>
      <c r="E114" s="159"/>
      <c r="F114" s="190"/>
      <c r="G114" s="159"/>
      <c r="H114" s="159"/>
      <c r="I114" s="159"/>
      <c r="J114" s="159"/>
      <c r="K114" s="159"/>
      <c r="L114" s="159"/>
      <c r="M114" s="159"/>
      <c r="N114" s="159"/>
      <c r="O114" s="159"/>
      <c r="P114" s="159"/>
      <c r="Q114" s="160"/>
      <c r="R114" s="181"/>
      <c r="S114" s="181"/>
      <c r="T114" s="181"/>
      <c r="U114" s="182"/>
      <c r="V114" s="183"/>
      <c r="W114" s="184"/>
      <c r="X114" s="165"/>
      <c r="Y114" s="159"/>
      <c r="Z114" s="159"/>
      <c r="AA114" s="4"/>
      <c r="AB114" s="4"/>
      <c r="AC114" s="4"/>
      <c r="AD114" s="4"/>
      <c r="AE114" s="4"/>
      <c r="AF114" s="4"/>
      <c r="AG114" s="4"/>
    </row>
    <row r="115" spans="1:33">
      <c r="A115" s="159"/>
      <c r="B115" s="159"/>
      <c r="C115" s="159"/>
      <c r="D115" s="159"/>
      <c r="E115" s="159"/>
      <c r="F115" s="173"/>
      <c r="G115" s="159"/>
      <c r="H115" s="159"/>
      <c r="I115" s="159"/>
      <c r="J115" s="159"/>
      <c r="K115" s="159"/>
      <c r="L115" s="159"/>
      <c r="M115" s="159"/>
      <c r="N115" s="159"/>
      <c r="O115" s="159"/>
      <c r="P115" s="159"/>
      <c r="Q115" s="160"/>
      <c r="R115" s="181"/>
      <c r="S115" s="181"/>
      <c r="T115" s="181"/>
      <c r="U115" s="182"/>
      <c r="V115" s="183"/>
      <c r="W115" s="184"/>
      <c r="X115" s="165"/>
      <c r="Y115" s="159"/>
      <c r="Z115" s="159"/>
      <c r="AA115" s="4"/>
      <c r="AB115" s="4"/>
      <c r="AC115" s="4"/>
      <c r="AD115" s="4"/>
      <c r="AE115" s="4"/>
      <c r="AF115" s="4"/>
      <c r="AG115" s="4"/>
    </row>
    <row r="116" spans="1:33">
      <c r="A116" s="159"/>
      <c r="B116" s="159"/>
      <c r="C116" s="159"/>
      <c r="D116" s="159"/>
      <c r="E116" s="159"/>
      <c r="F116" s="190"/>
      <c r="G116" s="159"/>
      <c r="H116" s="159"/>
      <c r="I116" s="159"/>
      <c r="J116" s="159"/>
      <c r="K116" s="159"/>
      <c r="L116" s="159"/>
      <c r="M116" s="159"/>
      <c r="N116" s="159"/>
      <c r="O116" s="159"/>
      <c r="P116" s="159"/>
      <c r="Q116" s="160"/>
      <c r="R116" s="181"/>
      <c r="S116" s="181"/>
      <c r="T116" s="181"/>
      <c r="U116" s="182"/>
      <c r="V116" s="183"/>
      <c r="W116" s="184"/>
      <c r="X116" s="165"/>
      <c r="Y116" s="159"/>
      <c r="Z116" s="159"/>
      <c r="AA116" s="4"/>
      <c r="AB116" s="4"/>
      <c r="AC116" s="4"/>
      <c r="AD116" s="4"/>
      <c r="AE116" s="4"/>
      <c r="AF116" s="4"/>
      <c r="AG116" s="4"/>
    </row>
    <row r="117" spans="1:33">
      <c r="A117" s="159"/>
      <c r="B117" s="159"/>
      <c r="C117" s="159"/>
      <c r="D117" s="159"/>
      <c r="E117" s="159"/>
      <c r="F117" s="173"/>
      <c r="G117" s="159"/>
      <c r="H117" s="159"/>
      <c r="I117" s="159"/>
      <c r="J117" s="159"/>
      <c r="K117" s="159"/>
      <c r="L117" s="159"/>
      <c r="M117" s="159"/>
      <c r="N117" s="159"/>
      <c r="O117" s="159"/>
      <c r="P117" s="159"/>
      <c r="Q117" s="160"/>
      <c r="R117" s="181"/>
      <c r="S117" s="181"/>
      <c r="T117" s="181"/>
      <c r="U117" s="182"/>
      <c r="V117" s="183"/>
      <c r="W117" s="184"/>
      <c r="X117" s="165"/>
      <c r="Y117" s="159"/>
      <c r="Z117" s="159"/>
      <c r="AA117" s="4"/>
      <c r="AB117" s="4"/>
      <c r="AC117" s="4"/>
      <c r="AD117" s="4"/>
      <c r="AE117" s="4"/>
      <c r="AF117" s="4"/>
      <c r="AG117" s="4"/>
    </row>
    <row r="118" spans="1:33">
      <c r="A118" s="159"/>
      <c r="B118" s="159"/>
      <c r="C118" s="159"/>
      <c r="D118" s="159"/>
      <c r="E118" s="159"/>
      <c r="F118" s="190"/>
      <c r="G118" s="159"/>
      <c r="H118" s="159"/>
      <c r="I118" s="159"/>
      <c r="J118" s="159"/>
      <c r="K118" s="159"/>
      <c r="L118" s="159"/>
      <c r="M118" s="159"/>
      <c r="N118" s="159"/>
      <c r="O118" s="159"/>
      <c r="P118" s="159"/>
      <c r="Q118" s="160"/>
      <c r="R118" s="181"/>
      <c r="S118" s="181"/>
      <c r="T118" s="181"/>
      <c r="U118" s="182"/>
      <c r="V118" s="183"/>
      <c r="W118" s="184"/>
      <c r="X118" s="165"/>
      <c r="Y118" s="159"/>
      <c r="Z118" s="159"/>
      <c r="AA118" s="4"/>
      <c r="AB118" s="4"/>
      <c r="AC118" s="4"/>
      <c r="AD118" s="4"/>
      <c r="AE118" s="4"/>
      <c r="AF118" s="4"/>
      <c r="AG118" s="4"/>
    </row>
    <row r="119" spans="1:33">
      <c r="A119" s="159"/>
      <c r="B119" s="159"/>
      <c r="C119" s="159"/>
      <c r="D119" s="159"/>
      <c r="E119" s="159"/>
      <c r="F119" s="173"/>
      <c r="G119" s="159"/>
      <c r="H119" s="159"/>
      <c r="I119" s="159"/>
      <c r="J119" s="159"/>
      <c r="K119" s="159"/>
      <c r="L119" s="159"/>
      <c r="M119" s="159"/>
      <c r="N119" s="159"/>
      <c r="O119" s="159"/>
      <c r="P119" s="159"/>
      <c r="Q119" s="160"/>
      <c r="R119" s="181"/>
      <c r="S119" s="181"/>
      <c r="T119" s="181"/>
      <c r="U119" s="182"/>
      <c r="V119" s="183"/>
      <c r="W119" s="184"/>
      <c r="X119" s="165"/>
      <c r="Y119" s="159"/>
      <c r="Z119" s="159"/>
      <c r="AA119" s="4"/>
      <c r="AB119" s="4"/>
      <c r="AC119" s="4"/>
      <c r="AD119" s="4"/>
      <c r="AE119" s="4"/>
      <c r="AF119" s="4"/>
      <c r="AG119" s="4"/>
    </row>
    <row r="120" spans="1:33">
      <c r="A120" s="159"/>
      <c r="B120" s="159"/>
      <c r="C120" s="159"/>
      <c r="D120" s="159"/>
      <c r="E120" s="159"/>
      <c r="F120" s="190"/>
      <c r="G120" s="159"/>
      <c r="H120" s="159"/>
      <c r="I120" s="159"/>
      <c r="J120" s="159"/>
      <c r="K120" s="159"/>
      <c r="L120" s="159"/>
      <c r="M120" s="159"/>
      <c r="N120" s="159"/>
      <c r="O120" s="159"/>
      <c r="P120" s="159"/>
      <c r="Q120" s="160"/>
      <c r="R120" s="181"/>
      <c r="S120" s="181"/>
      <c r="T120" s="181"/>
      <c r="U120" s="182"/>
      <c r="V120" s="183"/>
      <c r="W120" s="184"/>
      <c r="X120" s="165"/>
      <c r="Y120" s="159"/>
      <c r="Z120" s="159"/>
      <c r="AA120" s="4"/>
      <c r="AB120" s="4"/>
      <c r="AC120" s="4"/>
      <c r="AD120" s="4"/>
      <c r="AE120" s="4"/>
      <c r="AF120" s="4"/>
      <c r="AG120" s="4"/>
    </row>
    <row r="121" spans="1:33">
      <c r="A121" s="159"/>
      <c r="B121" s="159"/>
      <c r="C121" s="159"/>
      <c r="D121" s="159"/>
      <c r="E121" s="159"/>
      <c r="F121" s="173"/>
      <c r="G121" s="159"/>
      <c r="H121" s="159"/>
      <c r="I121" s="159"/>
      <c r="J121" s="159"/>
      <c r="K121" s="159"/>
      <c r="L121" s="159"/>
      <c r="M121" s="159"/>
      <c r="N121" s="159"/>
      <c r="O121" s="159"/>
      <c r="P121" s="159"/>
      <c r="Q121" s="160"/>
      <c r="R121" s="181"/>
      <c r="S121" s="181"/>
      <c r="T121" s="181"/>
      <c r="U121" s="182"/>
      <c r="V121" s="183"/>
      <c r="W121" s="184"/>
      <c r="X121" s="165"/>
      <c r="Y121" s="159"/>
      <c r="Z121" s="159"/>
      <c r="AA121" s="4"/>
      <c r="AB121" s="4"/>
      <c r="AC121" s="4"/>
      <c r="AD121" s="4"/>
      <c r="AE121" s="4"/>
      <c r="AF121" s="4"/>
      <c r="AG121" s="4"/>
    </row>
    <row r="122" spans="1:33">
      <c r="A122" s="159"/>
      <c r="B122" s="159"/>
      <c r="C122" s="159"/>
      <c r="D122" s="159"/>
      <c r="E122" s="159"/>
      <c r="F122" s="190"/>
      <c r="G122" s="159"/>
      <c r="H122" s="159"/>
      <c r="I122" s="159"/>
      <c r="J122" s="159"/>
      <c r="K122" s="159"/>
      <c r="L122" s="159"/>
      <c r="M122" s="159"/>
      <c r="N122" s="159"/>
      <c r="O122" s="159"/>
      <c r="P122" s="159"/>
      <c r="Q122" s="160"/>
      <c r="R122" s="181"/>
      <c r="S122" s="181"/>
      <c r="T122" s="181"/>
      <c r="U122" s="182"/>
      <c r="V122" s="183"/>
      <c r="W122" s="184"/>
      <c r="X122" s="165"/>
      <c r="Y122" s="159"/>
      <c r="Z122" s="159"/>
      <c r="AA122" s="4"/>
      <c r="AB122" s="4"/>
      <c r="AC122" s="4"/>
      <c r="AD122" s="4"/>
      <c r="AE122" s="4"/>
      <c r="AF122" s="4"/>
      <c r="AG122" s="4"/>
    </row>
    <row r="123" spans="1:33">
      <c r="A123" s="159"/>
      <c r="B123" s="159"/>
      <c r="C123" s="159"/>
      <c r="D123" s="159"/>
      <c r="E123" s="159"/>
      <c r="F123" s="173"/>
      <c r="G123" s="159"/>
      <c r="H123" s="159"/>
      <c r="I123" s="159"/>
      <c r="J123" s="159"/>
      <c r="K123" s="159"/>
      <c r="L123" s="159"/>
      <c r="M123" s="159"/>
      <c r="N123" s="159"/>
      <c r="O123" s="159"/>
      <c r="P123" s="159"/>
      <c r="Q123" s="160"/>
      <c r="R123" s="181"/>
      <c r="S123" s="181"/>
      <c r="T123" s="181"/>
      <c r="U123" s="182"/>
      <c r="V123" s="183"/>
      <c r="W123" s="184"/>
      <c r="X123" s="165"/>
      <c r="Y123" s="159"/>
      <c r="Z123" s="159"/>
      <c r="AA123" s="4"/>
      <c r="AB123" s="4"/>
      <c r="AC123" s="4"/>
      <c r="AD123" s="4"/>
      <c r="AE123" s="4"/>
      <c r="AF123" s="4"/>
      <c r="AG123" s="4"/>
    </row>
    <row r="124" spans="1:33">
      <c r="A124" s="159"/>
      <c r="B124" s="159"/>
      <c r="C124" s="159"/>
      <c r="D124" s="159"/>
      <c r="E124" s="159"/>
      <c r="F124" s="190"/>
      <c r="G124" s="159"/>
      <c r="H124" s="159"/>
      <c r="I124" s="159"/>
      <c r="J124" s="159"/>
      <c r="K124" s="159"/>
      <c r="L124" s="159"/>
      <c r="M124" s="159"/>
      <c r="N124" s="159"/>
      <c r="O124" s="159"/>
      <c r="P124" s="159"/>
      <c r="Q124" s="160"/>
      <c r="R124" s="181"/>
      <c r="S124" s="181"/>
      <c r="T124" s="181"/>
      <c r="U124" s="182"/>
      <c r="V124" s="183"/>
      <c r="W124" s="184"/>
      <c r="X124" s="165"/>
      <c r="Y124" s="159"/>
      <c r="Z124" s="159"/>
      <c r="AA124" s="4"/>
      <c r="AB124" s="4"/>
      <c r="AC124" s="4"/>
      <c r="AD124" s="4"/>
      <c r="AE124" s="4"/>
      <c r="AF124" s="4"/>
      <c r="AG124" s="4"/>
    </row>
    <row r="125" spans="1:33">
      <c r="A125" s="159"/>
      <c r="B125" s="159"/>
      <c r="C125" s="159"/>
      <c r="D125" s="159"/>
      <c r="E125" s="159"/>
      <c r="F125" s="173"/>
      <c r="G125" s="159"/>
      <c r="H125" s="159"/>
      <c r="I125" s="159"/>
      <c r="J125" s="159"/>
      <c r="K125" s="159"/>
      <c r="L125" s="159"/>
      <c r="M125" s="159"/>
      <c r="N125" s="159"/>
      <c r="O125" s="159"/>
      <c r="P125" s="159"/>
      <c r="Q125" s="160"/>
      <c r="R125" s="181"/>
      <c r="S125" s="181"/>
      <c r="T125" s="181"/>
      <c r="U125" s="182"/>
      <c r="V125" s="183"/>
      <c r="W125" s="184"/>
      <c r="X125" s="165"/>
      <c r="Y125" s="159"/>
      <c r="Z125" s="159"/>
      <c r="AA125" s="4"/>
      <c r="AB125" s="4"/>
      <c r="AC125" s="4"/>
      <c r="AD125" s="4"/>
      <c r="AE125" s="4"/>
      <c r="AF125" s="4"/>
      <c r="AG125" s="4"/>
    </row>
    <row r="126" spans="1:33">
      <c r="A126" s="159"/>
      <c r="B126" s="159"/>
      <c r="C126" s="159"/>
      <c r="D126" s="159"/>
      <c r="E126" s="159"/>
      <c r="F126" s="190"/>
      <c r="G126" s="159"/>
      <c r="H126" s="159"/>
      <c r="I126" s="159"/>
      <c r="J126" s="159"/>
      <c r="K126" s="159"/>
      <c r="L126" s="159"/>
      <c r="M126" s="159"/>
      <c r="N126" s="159"/>
      <c r="O126" s="159"/>
      <c r="P126" s="159"/>
      <c r="Q126" s="160"/>
      <c r="R126" s="181"/>
      <c r="S126" s="181"/>
      <c r="T126" s="181"/>
      <c r="U126" s="182"/>
      <c r="V126" s="183"/>
      <c r="W126" s="184"/>
      <c r="X126" s="165"/>
      <c r="Y126" s="159"/>
      <c r="Z126" s="159"/>
      <c r="AA126" s="4"/>
      <c r="AB126" s="4"/>
      <c r="AC126" s="4"/>
      <c r="AD126" s="4"/>
      <c r="AE126" s="4"/>
      <c r="AF126" s="4"/>
      <c r="AG126" s="4"/>
    </row>
    <row r="127" spans="1:33">
      <c r="A127" s="159"/>
      <c r="B127" s="159"/>
      <c r="C127" s="159"/>
      <c r="D127" s="159"/>
      <c r="E127" s="159"/>
      <c r="F127" s="173"/>
      <c r="G127" s="159"/>
      <c r="H127" s="159"/>
      <c r="I127" s="159"/>
      <c r="J127" s="159"/>
      <c r="K127" s="159"/>
      <c r="L127" s="159"/>
      <c r="M127" s="159"/>
      <c r="N127" s="159"/>
      <c r="O127" s="159"/>
      <c r="P127" s="159"/>
      <c r="Q127" s="160"/>
      <c r="R127" s="181"/>
      <c r="S127" s="181"/>
      <c r="T127" s="181"/>
      <c r="U127" s="182"/>
      <c r="V127" s="183"/>
      <c r="W127" s="184"/>
      <c r="X127" s="165"/>
      <c r="Y127" s="159"/>
      <c r="Z127" s="159"/>
      <c r="AA127" s="4"/>
      <c r="AB127" s="4"/>
      <c r="AC127" s="4"/>
      <c r="AD127" s="4"/>
      <c r="AE127" s="4"/>
      <c r="AF127" s="4"/>
      <c r="AG127" s="4"/>
    </row>
    <row r="128" spans="1:33">
      <c r="A128" s="159"/>
      <c r="B128" s="159"/>
      <c r="C128" s="159"/>
      <c r="D128" s="159"/>
      <c r="E128" s="159"/>
      <c r="F128" s="190"/>
      <c r="G128" s="159"/>
      <c r="H128" s="159"/>
      <c r="I128" s="159"/>
      <c r="J128" s="159"/>
      <c r="K128" s="159"/>
      <c r="L128" s="159"/>
      <c r="M128" s="159"/>
      <c r="N128" s="159"/>
      <c r="O128" s="159"/>
      <c r="P128" s="159"/>
      <c r="Q128" s="160"/>
      <c r="R128" s="181"/>
      <c r="S128" s="181"/>
      <c r="T128" s="181"/>
      <c r="U128" s="182"/>
      <c r="V128" s="183"/>
      <c r="W128" s="184"/>
      <c r="X128" s="165"/>
      <c r="Y128" s="159"/>
      <c r="Z128" s="159"/>
      <c r="AA128" s="4"/>
      <c r="AB128" s="4"/>
      <c r="AC128" s="4"/>
      <c r="AD128" s="4"/>
      <c r="AE128" s="4"/>
      <c r="AF128" s="4"/>
      <c r="AG128" s="4"/>
    </row>
    <row r="129" spans="1:33">
      <c r="A129" s="159"/>
      <c r="B129" s="159"/>
      <c r="C129" s="159"/>
      <c r="D129" s="159"/>
      <c r="E129" s="159"/>
      <c r="F129" s="173"/>
      <c r="G129" s="159"/>
      <c r="H129" s="159"/>
      <c r="I129" s="159"/>
      <c r="J129" s="159"/>
      <c r="K129" s="159"/>
      <c r="L129" s="159"/>
      <c r="M129" s="159"/>
      <c r="N129" s="159"/>
      <c r="O129" s="159"/>
      <c r="P129" s="159"/>
      <c r="Q129" s="160"/>
      <c r="R129" s="181"/>
      <c r="S129" s="181"/>
      <c r="T129" s="181"/>
      <c r="U129" s="182"/>
      <c r="V129" s="183"/>
      <c r="W129" s="184"/>
      <c r="X129" s="165"/>
      <c r="Y129" s="159"/>
      <c r="Z129" s="159"/>
      <c r="AA129" s="4"/>
      <c r="AB129" s="4"/>
      <c r="AC129" s="4"/>
      <c r="AD129" s="4"/>
      <c r="AE129" s="4"/>
      <c r="AF129" s="4"/>
      <c r="AG129" s="4"/>
    </row>
    <row r="130" spans="1:33">
      <c r="A130" s="159"/>
      <c r="B130" s="159"/>
      <c r="C130" s="159"/>
      <c r="D130" s="159"/>
      <c r="E130" s="159"/>
      <c r="F130" s="190"/>
      <c r="G130" s="159"/>
      <c r="H130" s="159"/>
      <c r="I130" s="159"/>
      <c r="J130" s="159"/>
      <c r="K130" s="159"/>
      <c r="L130" s="159"/>
      <c r="M130" s="159"/>
      <c r="N130" s="159"/>
      <c r="O130" s="159"/>
      <c r="P130" s="159"/>
      <c r="Q130" s="160"/>
      <c r="R130" s="181"/>
      <c r="S130" s="181"/>
      <c r="T130" s="181"/>
      <c r="U130" s="182"/>
      <c r="V130" s="183"/>
      <c r="W130" s="184"/>
      <c r="X130" s="165"/>
      <c r="Y130" s="159"/>
      <c r="Z130" s="159"/>
      <c r="AA130" s="4"/>
      <c r="AB130" s="4"/>
      <c r="AC130" s="4"/>
      <c r="AD130" s="4"/>
      <c r="AE130" s="4"/>
      <c r="AF130" s="4"/>
      <c r="AG130" s="4"/>
    </row>
    <row r="131" spans="1:33">
      <c r="A131" s="159"/>
      <c r="B131" s="159"/>
      <c r="C131" s="159"/>
      <c r="D131" s="159"/>
      <c r="E131" s="159"/>
      <c r="F131" s="173"/>
      <c r="G131" s="159"/>
      <c r="H131" s="159"/>
      <c r="I131" s="159"/>
      <c r="J131" s="159"/>
      <c r="K131" s="159"/>
      <c r="L131" s="159"/>
      <c r="M131" s="159"/>
      <c r="N131" s="159"/>
      <c r="O131" s="159"/>
      <c r="P131" s="159"/>
      <c r="Q131" s="160"/>
      <c r="R131" s="181"/>
      <c r="S131" s="181"/>
      <c r="T131" s="181"/>
      <c r="U131" s="182"/>
      <c r="V131" s="183"/>
      <c r="W131" s="184"/>
      <c r="X131" s="165"/>
      <c r="Y131" s="159"/>
      <c r="Z131" s="159"/>
      <c r="AA131" s="4"/>
      <c r="AB131" s="4"/>
      <c r="AC131" s="4"/>
      <c r="AD131" s="4"/>
      <c r="AE131" s="4"/>
      <c r="AF131" s="4"/>
      <c r="AG131" s="4"/>
    </row>
    <row r="132" spans="1:33">
      <c r="A132" s="159"/>
      <c r="B132" s="159"/>
      <c r="C132" s="159"/>
      <c r="D132" s="159"/>
      <c r="E132" s="159"/>
      <c r="F132" s="190"/>
      <c r="G132" s="159"/>
      <c r="H132" s="159"/>
      <c r="I132" s="159"/>
      <c r="J132" s="159"/>
      <c r="K132" s="159"/>
      <c r="L132" s="159"/>
      <c r="M132" s="159"/>
      <c r="N132" s="159"/>
      <c r="O132" s="159"/>
      <c r="P132" s="159"/>
      <c r="Q132" s="160"/>
      <c r="R132" s="181"/>
      <c r="S132" s="181"/>
      <c r="T132" s="181"/>
      <c r="U132" s="182"/>
      <c r="V132" s="183"/>
      <c r="W132" s="184"/>
      <c r="X132" s="165"/>
      <c r="Y132" s="159"/>
      <c r="Z132" s="159"/>
      <c r="AA132" s="4"/>
      <c r="AB132" s="4"/>
      <c r="AC132" s="4"/>
      <c r="AD132" s="4"/>
      <c r="AE132" s="4"/>
      <c r="AF132" s="4"/>
      <c r="AG132" s="4"/>
    </row>
    <row r="133" spans="1:33">
      <c r="A133" s="159"/>
      <c r="B133" s="159"/>
      <c r="C133" s="159"/>
      <c r="D133" s="159"/>
      <c r="E133" s="159"/>
      <c r="F133" s="173"/>
      <c r="G133" s="159"/>
      <c r="H133" s="159"/>
      <c r="I133" s="159"/>
      <c r="J133" s="159"/>
      <c r="K133" s="159"/>
      <c r="L133" s="159"/>
      <c r="M133" s="159"/>
      <c r="N133" s="159"/>
      <c r="O133" s="159"/>
      <c r="P133" s="159"/>
      <c r="Q133" s="160"/>
      <c r="R133" s="181"/>
      <c r="S133" s="181"/>
      <c r="T133" s="181"/>
      <c r="U133" s="182"/>
      <c r="V133" s="183"/>
      <c r="W133" s="184"/>
      <c r="X133" s="165"/>
      <c r="Y133" s="159"/>
      <c r="Z133" s="159"/>
      <c r="AA133" s="4"/>
      <c r="AB133" s="4"/>
      <c r="AC133" s="4"/>
      <c r="AD133" s="4"/>
      <c r="AE133" s="4"/>
      <c r="AF133" s="4"/>
      <c r="AG133" s="4"/>
    </row>
    <row r="134" spans="1:33">
      <c r="A134" s="159"/>
      <c r="B134" s="159"/>
      <c r="C134" s="159"/>
      <c r="D134" s="159"/>
      <c r="E134" s="159"/>
      <c r="F134" s="190"/>
      <c r="G134" s="159"/>
      <c r="H134" s="159"/>
      <c r="I134" s="159"/>
      <c r="J134" s="159"/>
      <c r="K134" s="159"/>
      <c r="L134" s="159"/>
      <c r="M134" s="159"/>
      <c r="N134" s="159"/>
      <c r="O134" s="159"/>
      <c r="P134" s="159"/>
      <c r="Q134" s="160"/>
      <c r="R134" s="181"/>
      <c r="S134" s="181"/>
      <c r="T134" s="181"/>
      <c r="U134" s="182"/>
      <c r="V134" s="183"/>
      <c r="W134" s="184"/>
      <c r="X134" s="165"/>
      <c r="Y134" s="159"/>
      <c r="Z134" s="159"/>
      <c r="AA134" s="4"/>
      <c r="AB134" s="4"/>
      <c r="AC134" s="4"/>
      <c r="AD134" s="4"/>
      <c r="AE134" s="4"/>
      <c r="AF134" s="4"/>
      <c r="AG134" s="4"/>
    </row>
    <row r="135" spans="1:33">
      <c r="A135" s="159"/>
      <c r="B135" s="159"/>
      <c r="C135" s="159"/>
      <c r="D135" s="159"/>
      <c r="E135" s="159"/>
      <c r="F135" s="173"/>
      <c r="G135" s="159"/>
      <c r="H135" s="159"/>
      <c r="I135" s="159"/>
      <c r="J135" s="159"/>
      <c r="K135" s="159"/>
      <c r="L135" s="159"/>
      <c r="M135" s="159"/>
      <c r="N135" s="159"/>
      <c r="O135" s="159"/>
      <c r="P135" s="159"/>
      <c r="Q135" s="160"/>
      <c r="R135" s="181"/>
      <c r="S135" s="181"/>
      <c r="T135" s="181"/>
      <c r="U135" s="182"/>
      <c r="V135" s="183"/>
      <c r="W135" s="184"/>
      <c r="X135" s="165"/>
      <c r="Y135" s="159"/>
      <c r="Z135" s="159"/>
      <c r="AA135" s="4"/>
      <c r="AB135" s="4"/>
      <c r="AC135" s="4"/>
      <c r="AD135" s="4"/>
      <c r="AE135" s="4"/>
      <c r="AF135" s="4"/>
      <c r="AG135" s="4"/>
    </row>
    <row r="136" spans="1:33">
      <c r="A136" s="159"/>
      <c r="B136" s="159"/>
      <c r="C136" s="159"/>
      <c r="D136" s="159"/>
      <c r="E136" s="159"/>
      <c r="F136" s="190"/>
      <c r="G136" s="159"/>
      <c r="H136" s="159"/>
      <c r="I136" s="159"/>
      <c r="J136" s="159"/>
      <c r="K136" s="159"/>
      <c r="L136" s="159"/>
      <c r="M136" s="159"/>
      <c r="N136" s="159"/>
      <c r="O136" s="159"/>
      <c r="P136" s="159"/>
      <c r="Q136" s="160"/>
      <c r="R136" s="181"/>
      <c r="S136" s="181"/>
      <c r="T136" s="181"/>
      <c r="U136" s="182"/>
      <c r="V136" s="183"/>
      <c r="W136" s="184"/>
      <c r="X136" s="165"/>
      <c r="Y136" s="159"/>
      <c r="Z136" s="159"/>
      <c r="AA136" s="4"/>
      <c r="AB136" s="4"/>
      <c r="AC136" s="4"/>
      <c r="AD136" s="4"/>
      <c r="AE136" s="4"/>
      <c r="AF136" s="4"/>
      <c r="AG136" s="4"/>
    </row>
    <row r="137" spans="1:33">
      <c r="A137" s="159"/>
      <c r="B137" s="159"/>
      <c r="C137" s="159"/>
      <c r="D137" s="159"/>
      <c r="E137" s="159"/>
      <c r="F137" s="173"/>
      <c r="G137" s="159"/>
      <c r="H137" s="159"/>
      <c r="I137" s="159"/>
      <c r="J137" s="159"/>
      <c r="K137" s="159"/>
      <c r="L137" s="159"/>
      <c r="M137" s="159"/>
      <c r="N137" s="159"/>
      <c r="O137" s="159"/>
      <c r="P137" s="159"/>
      <c r="Q137" s="160"/>
      <c r="R137" s="181"/>
      <c r="S137" s="181"/>
      <c r="T137" s="181"/>
      <c r="U137" s="182"/>
      <c r="V137" s="183"/>
      <c r="W137" s="184"/>
      <c r="X137" s="165"/>
      <c r="Y137" s="159"/>
      <c r="Z137" s="159"/>
      <c r="AA137" s="4"/>
      <c r="AB137" s="4"/>
      <c r="AC137" s="4"/>
      <c r="AD137" s="4"/>
      <c r="AE137" s="4"/>
      <c r="AF137" s="4"/>
      <c r="AG137" s="4"/>
    </row>
    <row r="138" spans="1:33">
      <c r="A138" s="159"/>
      <c r="B138" s="159"/>
      <c r="C138" s="159"/>
      <c r="D138" s="159"/>
      <c r="E138" s="159"/>
      <c r="F138" s="190"/>
      <c r="G138" s="159"/>
      <c r="H138" s="159"/>
      <c r="I138" s="159"/>
      <c r="J138" s="159"/>
      <c r="K138" s="159"/>
      <c r="L138" s="159"/>
      <c r="M138" s="159"/>
      <c r="N138" s="159"/>
      <c r="O138" s="159"/>
      <c r="P138" s="159"/>
      <c r="Q138" s="160"/>
      <c r="R138" s="181"/>
      <c r="S138" s="181"/>
      <c r="T138" s="181"/>
      <c r="U138" s="182"/>
      <c r="V138" s="183"/>
      <c r="W138" s="184"/>
      <c r="X138" s="165"/>
      <c r="Y138" s="159"/>
      <c r="Z138" s="159"/>
      <c r="AA138" s="4"/>
      <c r="AB138" s="4"/>
      <c r="AC138" s="4"/>
      <c r="AD138" s="4"/>
      <c r="AE138" s="4"/>
      <c r="AF138" s="4"/>
      <c r="AG138" s="4"/>
    </row>
    <row r="139" spans="1:33">
      <c r="A139" s="159"/>
      <c r="B139" s="159"/>
      <c r="C139" s="159"/>
      <c r="D139" s="159"/>
      <c r="E139" s="159"/>
      <c r="F139" s="173"/>
      <c r="G139" s="159"/>
      <c r="H139" s="159"/>
      <c r="I139" s="159"/>
      <c r="J139" s="159"/>
      <c r="K139" s="159"/>
      <c r="L139" s="159"/>
      <c r="M139" s="159"/>
      <c r="N139" s="159"/>
      <c r="O139" s="159"/>
      <c r="P139" s="159"/>
      <c r="Q139" s="160"/>
      <c r="R139" s="181"/>
      <c r="S139" s="181"/>
      <c r="T139" s="181"/>
      <c r="U139" s="182"/>
      <c r="V139" s="183"/>
      <c r="W139" s="184"/>
      <c r="X139" s="165"/>
      <c r="Y139" s="159"/>
      <c r="Z139" s="159"/>
      <c r="AA139" s="4"/>
      <c r="AB139" s="4"/>
      <c r="AC139" s="4"/>
      <c r="AD139" s="4"/>
      <c r="AE139" s="4"/>
      <c r="AF139" s="4"/>
      <c r="AG139" s="4"/>
    </row>
    <row r="140" spans="1:33">
      <c r="A140" s="159"/>
      <c r="B140" s="159"/>
      <c r="C140" s="159"/>
      <c r="D140" s="159"/>
      <c r="E140" s="159"/>
      <c r="F140" s="190"/>
      <c r="G140" s="159"/>
      <c r="H140" s="159"/>
      <c r="I140" s="159"/>
      <c r="J140" s="159"/>
      <c r="K140" s="159"/>
      <c r="L140" s="159"/>
      <c r="M140" s="159"/>
      <c r="N140" s="159"/>
      <c r="O140" s="159"/>
      <c r="P140" s="159"/>
      <c r="Q140" s="160"/>
      <c r="R140" s="181"/>
      <c r="S140" s="181"/>
      <c r="T140" s="181"/>
      <c r="U140" s="182"/>
      <c r="V140" s="183"/>
      <c r="W140" s="184"/>
      <c r="X140" s="165"/>
      <c r="Y140" s="159"/>
      <c r="Z140" s="159"/>
      <c r="AA140" s="4"/>
      <c r="AB140" s="4"/>
      <c r="AC140" s="4"/>
      <c r="AD140" s="4"/>
      <c r="AE140" s="4"/>
      <c r="AF140" s="4"/>
      <c r="AG140" s="4"/>
    </row>
    <row r="141" spans="1:33">
      <c r="A141" s="159"/>
      <c r="B141" s="159"/>
      <c r="C141" s="159"/>
      <c r="D141" s="159"/>
      <c r="E141" s="159"/>
      <c r="F141" s="173"/>
      <c r="G141" s="159"/>
      <c r="H141" s="159"/>
      <c r="I141" s="159"/>
      <c r="J141" s="159"/>
      <c r="K141" s="159"/>
      <c r="L141" s="159"/>
      <c r="M141" s="159"/>
      <c r="N141" s="159"/>
      <c r="O141" s="159"/>
      <c r="P141" s="159"/>
      <c r="Q141" s="160"/>
      <c r="R141" s="181"/>
      <c r="S141" s="181"/>
      <c r="T141" s="181"/>
      <c r="U141" s="182"/>
      <c r="V141" s="183"/>
      <c r="W141" s="184"/>
      <c r="X141" s="165"/>
      <c r="Y141" s="159"/>
      <c r="Z141" s="159"/>
      <c r="AA141" s="4"/>
      <c r="AB141" s="4"/>
      <c r="AC141" s="4"/>
      <c r="AD141" s="4"/>
      <c r="AE141" s="4"/>
      <c r="AF141" s="4"/>
      <c r="AG141" s="4"/>
    </row>
    <row r="142" spans="1:33">
      <c r="A142" s="159"/>
      <c r="B142" s="159"/>
      <c r="C142" s="159"/>
      <c r="D142" s="159"/>
      <c r="E142" s="159"/>
      <c r="F142" s="190"/>
      <c r="G142" s="159"/>
      <c r="H142" s="159"/>
      <c r="I142" s="159"/>
      <c r="J142" s="159"/>
      <c r="K142" s="159"/>
      <c r="L142" s="159"/>
      <c r="M142" s="159"/>
      <c r="N142" s="159"/>
      <c r="O142" s="159"/>
      <c r="P142" s="159"/>
      <c r="Q142" s="160"/>
      <c r="R142" s="181"/>
      <c r="S142" s="181"/>
      <c r="T142" s="181"/>
      <c r="U142" s="182"/>
      <c r="V142" s="183"/>
      <c r="W142" s="184"/>
      <c r="X142" s="165"/>
      <c r="Y142" s="159"/>
      <c r="Z142" s="159"/>
      <c r="AA142" s="4"/>
      <c r="AB142" s="4"/>
      <c r="AC142" s="4"/>
      <c r="AD142" s="4"/>
      <c r="AE142" s="4"/>
      <c r="AF142" s="4"/>
      <c r="AG142" s="4"/>
    </row>
    <row r="143" spans="1:33">
      <c r="A143" s="159"/>
      <c r="B143" s="159"/>
      <c r="C143" s="159"/>
      <c r="D143" s="159"/>
      <c r="E143" s="159"/>
      <c r="F143" s="173"/>
      <c r="G143" s="159"/>
      <c r="H143" s="159"/>
      <c r="I143" s="159"/>
      <c r="J143" s="159"/>
      <c r="K143" s="159"/>
      <c r="L143" s="159"/>
      <c r="M143" s="159"/>
      <c r="N143" s="159"/>
      <c r="O143" s="159"/>
      <c r="P143" s="159"/>
      <c r="Q143" s="160"/>
      <c r="R143" s="181"/>
      <c r="S143" s="181"/>
      <c r="T143" s="181"/>
      <c r="U143" s="182"/>
      <c r="V143" s="183"/>
      <c r="W143" s="184"/>
      <c r="X143" s="165"/>
      <c r="Y143" s="159"/>
      <c r="Z143" s="159"/>
      <c r="AA143" s="4"/>
      <c r="AB143" s="4"/>
      <c r="AC143" s="4"/>
      <c r="AD143" s="4"/>
      <c r="AE143" s="4"/>
      <c r="AF143" s="4"/>
      <c r="AG143" s="4"/>
    </row>
    <row r="144" spans="1:33">
      <c r="A144" s="159"/>
      <c r="B144" s="159"/>
      <c r="C144" s="159"/>
      <c r="D144" s="159"/>
      <c r="E144" s="159"/>
      <c r="F144" s="190"/>
      <c r="G144" s="159"/>
      <c r="H144" s="159"/>
      <c r="I144" s="159"/>
      <c r="J144" s="159"/>
      <c r="K144" s="159"/>
      <c r="L144" s="159"/>
      <c r="M144" s="159"/>
      <c r="N144" s="159"/>
      <c r="O144" s="159"/>
      <c r="P144" s="159"/>
      <c r="Q144" s="160"/>
      <c r="R144" s="181"/>
      <c r="S144" s="181"/>
      <c r="T144" s="181"/>
      <c r="U144" s="182"/>
      <c r="V144" s="183"/>
      <c r="W144" s="184"/>
      <c r="X144" s="165"/>
      <c r="Y144" s="159"/>
      <c r="Z144" s="159"/>
      <c r="AA144" s="4"/>
      <c r="AB144" s="4"/>
      <c r="AC144" s="4"/>
      <c r="AD144" s="4"/>
      <c r="AE144" s="4"/>
      <c r="AF144" s="4"/>
      <c r="AG144" s="4"/>
    </row>
    <row r="145" spans="1:33">
      <c r="A145" s="159"/>
      <c r="B145" s="159"/>
      <c r="C145" s="159"/>
      <c r="D145" s="159"/>
      <c r="E145" s="159"/>
      <c r="F145" s="173"/>
      <c r="G145" s="159"/>
      <c r="H145" s="159"/>
      <c r="I145" s="159"/>
      <c r="J145" s="159"/>
      <c r="K145" s="159"/>
      <c r="L145" s="159"/>
      <c r="M145" s="159"/>
      <c r="N145" s="159"/>
      <c r="O145" s="159"/>
      <c r="P145" s="159"/>
      <c r="Q145" s="160"/>
      <c r="R145" s="181"/>
      <c r="S145" s="181"/>
      <c r="T145" s="181"/>
      <c r="U145" s="182"/>
      <c r="V145" s="183"/>
      <c r="W145" s="184"/>
      <c r="X145" s="165"/>
      <c r="Y145" s="159"/>
      <c r="Z145" s="159"/>
      <c r="AA145" s="4"/>
      <c r="AB145" s="4"/>
      <c r="AC145" s="4"/>
      <c r="AD145" s="4"/>
      <c r="AE145" s="4"/>
      <c r="AF145" s="4"/>
      <c r="AG145" s="4"/>
    </row>
    <row r="146" spans="1:33">
      <c r="A146" s="159"/>
      <c r="B146" s="159"/>
      <c r="C146" s="159"/>
      <c r="D146" s="159"/>
      <c r="E146" s="159"/>
      <c r="F146" s="190"/>
      <c r="G146" s="159"/>
      <c r="H146" s="159"/>
      <c r="I146" s="159"/>
      <c r="J146" s="159"/>
      <c r="K146" s="159"/>
      <c r="L146" s="159"/>
      <c r="M146" s="159"/>
      <c r="N146" s="159"/>
      <c r="O146" s="159"/>
      <c r="P146" s="159"/>
      <c r="Q146" s="160"/>
      <c r="R146" s="181"/>
      <c r="S146" s="181"/>
      <c r="T146" s="181"/>
      <c r="U146" s="182"/>
      <c r="V146" s="183"/>
      <c r="W146" s="184"/>
      <c r="X146" s="165"/>
      <c r="Y146" s="159"/>
      <c r="Z146" s="159"/>
      <c r="AA146" s="4"/>
      <c r="AB146" s="4"/>
      <c r="AC146" s="4"/>
      <c r="AD146" s="4"/>
      <c r="AE146" s="4"/>
      <c r="AF146" s="4"/>
      <c r="AG146" s="4"/>
    </row>
    <row r="147" spans="1:33">
      <c r="A147" s="159"/>
      <c r="B147" s="159"/>
      <c r="C147" s="159"/>
      <c r="D147" s="159"/>
      <c r="E147" s="159"/>
      <c r="F147" s="173"/>
      <c r="G147" s="159"/>
      <c r="H147" s="159"/>
      <c r="I147" s="159"/>
      <c r="J147" s="159"/>
      <c r="K147" s="159"/>
      <c r="L147" s="159"/>
      <c r="M147" s="159"/>
      <c r="N147" s="159"/>
      <c r="O147" s="159"/>
      <c r="P147" s="159"/>
      <c r="Q147" s="160"/>
      <c r="R147" s="181"/>
      <c r="S147" s="181"/>
      <c r="T147" s="181"/>
      <c r="U147" s="182"/>
      <c r="V147" s="183"/>
      <c r="W147" s="184"/>
      <c r="X147" s="165"/>
      <c r="Y147" s="159"/>
      <c r="Z147" s="159"/>
      <c r="AA147" s="4"/>
      <c r="AB147" s="4"/>
      <c r="AC147" s="4"/>
      <c r="AD147" s="4"/>
      <c r="AE147" s="4"/>
      <c r="AF147" s="4"/>
      <c r="AG147" s="4"/>
    </row>
    <row r="148" spans="1:33">
      <c r="A148" s="159"/>
      <c r="B148" s="159"/>
      <c r="C148" s="159"/>
      <c r="D148" s="159"/>
      <c r="E148" s="159"/>
      <c r="F148" s="190"/>
      <c r="G148" s="159"/>
      <c r="H148" s="159"/>
      <c r="I148" s="159"/>
      <c r="J148" s="159"/>
      <c r="K148" s="159"/>
      <c r="L148" s="159"/>
      <c r="M148" s="159"/>
      <c r="N148" s="159"/>
      <c r="O148" s="159"/>
      <c r="P148" s="159"/>
      <c r="Q148" s="160"/>
      <c r="R148" s="181"/>
      <c r="S148" s="181"/>
      <c r="T148" s="181"/>
      <c r="U148" s="182"/>
      <c r="V148" s="183"/>
      <c r="W148" s="184"/>
      <c r="X148" s="165"/>
      <c r="Y148" s="159"/>
      <c r="Z148" s="159"/>
      <c r="AA148" s="4"/>
      <c r="AB148" s="4"/>
      <c r="AC148" s="4"/>
      <c r="AD148" s="4"/>
      <c r="AE148" s="4"/>
      <c r="AF148" s="4"/>
      <c r="AG148" s="4"/>
    </row>
  </sheetData>
  <hyperlinks>
    <hyperlink ref="F3" r:id="rId1" xr:uid="{00000000-0004-0000-0B00-000000000000}"/>
    <hyperlink ref="F16" r:id="rId2" xr:uid="{00000000-0004-0000-0B00-000001000000}"/>
  </hyperlinks>
  <pageMargins left="0.7" right="0.7" top="0.75" bottom="0.75" header="0.3" footer="0.3"/>
  <drawing r:id="rId3"/>
  <legacyDrawing r:id="rId4"/>
  <extLst>
    <ext xmlns:x14="http://schemas.microsoft.com/office/spreadsheetml/2009/9/main" uri="{CCE6A557-97BC-4b89-ADB6-D9C93CAAB3DF}">
      <x14:dataValidations xmlns:xm="http://schemas.microsoft.com/office/excel/2006/main" count="5">
        <x14:dataValidation type="list" allowBlank="1" xr:uid="{00000000-0002-0000-0B00-000000000000}">
          <x14:formula1>
            <xm:f>Fields!$F$2:$F$4</xm:f>
          </x14:formula1>
          <xm:sqref>C3</xm:sqref>
        </x14:dataValidation>
        <x14:dataValidation type="list" allowBlank="1" xr:uid="{00000000-0002-0000-0B00-000001000000}">
          <x14:formula1>
            <xm:f>Fields!$F$2:$F$8</xm:f>
          </x14:formula1>
          <xm:sqref>C16</xm:sqref>
        </x14:dataValidation>
        <x14:dataValidation type="list" allowBlank="1" xr:uid="{00000000-0002-0000-0B00-000002000000}">
          <x14:formula1>
            <xm:f>Fields!$D$2:$D$10</xm:f>
          </x14:formula1>
          <xm:sqref>B16</xm:sqref>
        </x14:dataValidation>
        <x14:dataValidation type="list" allowBlank="1" xr:uid="{00000000-0002-0000-0B00-000003000000}">
          <x14:formula1>
            <xm:f>Fields!$A$2:$A$8</xm:f>
          </x14:formula1>
          <xm:sqref>D3 D16</xm:sqref>
        </x14:dataValidation>
        <x14:dataValidation type="list" allowBlank="1" xr:uid="{00000000-0002-0000-0B00-000004000000}">
          <x14:formula1>
            <xm:f>Fields!$D$2:$D$6</xm:f>
          </x14:formula1>
          <xm:sqref>B3</xm:sqref>
        </x14:dataValidation>
      </x14:dataValidation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K99"/>
  <sheetViews>
    <sheetView workbookViewId="0">
      <pane ySplit="1" topLeftCell="A2" activePane="bottomLeft" state="frozen"/>
      <selection pane="bottomLeft" activeCell="B3" sqref="B3"/>
    </sheetView>
  </sheetViews>
  <sheetFormatPr defaultColWidth="12.5703125" defaultRowHeight="15" customHeight="1"/>
  <cols>
    <col min="1" max="1" width="5.140625" customWidth="1"/>
    <col min="2" max="2" width="6.28515625" customWidth="1"/>
    <col min="3" max="3" width="5.42578125" customWidth="1"/>
    <col min="4" max="4" width="11.28515625" customWidth="1"/>
    <col min="5" max="5" width="3.140625" customWidth="1"/>
    <col min="6" max="6" width="24.42578125" customWidth="1"/>
    <col min="7" max="7" width="24.85546875" customWidth="1"/>
    <col min="8" max="8" width="12.42578125" customWidth="1"/>
    <col min="9" max="10" width="7.42578125" customWidth="1"/>
    <col min="11" max="11" width="6.42578125" customWidth="1"/>
    <col min="12" max="12" width="8.42578125" customWidth="1"/>
    <col min="13" max="14" width="6.42578125" customWidth="1"/>
    <col min="15" max="16" width="7.42578125" customWidth="1"/>
    <col min="17" max="17" width="18.28515625" customWidth="1"/>
    <col min="18" max="18" width="5.7109375" customWidth="1"/>
    <col min="19" max="19" width="5.5703125" customWidth="1"/>
    <col min="20" max="20" width="6.5703125" customWidth="1"/>
    <col min="21" max="21" width="6.85546875" customWidth="1"/>
    <col min="22" max="22" width="7.7109375" customWidth="1"/>
    <col min="23" max="23" width="6.5703125" customWidth="1"/>
    <col min="24" max="24" width="7.5703125" customWidth="1"/>
    <col min="25" max="26" width="42.85546875" customWidth="1"/>
    <col min="27" max="37" width="11" customWidth="1"/>
  </cols>
  <sheetData>
    <row r="1" spans="1:37" ht="45" customHeight="1">
      <c r="A1" s="31" t="s">
        <v>9</v>
      </c>
      <c r="B1" s="66" t="str">
        <f>HYPERLINK("#rangeid=2086300674","Content Owner")</f>
        <v>Content Owner</v>
      </c>
      <c r="C1" s="67" t="str">
        <f>HYPERLINK("#rangeid=632369931","Video Owner")</f>
        <v>Video Owner</v>
      </c>
      <c r="D1" s="36" t="s">
        <v>87</v>
      </c>
      <c r="E1" s="37" t="s">
        <v>221</v>
      </c>
      <c r="F1" s="38" t="s">
        <v>223</v>
      </c>
      <c r="G1" s="31" t="s">
        <v>230</v>
      </c>
      <c r="H1" s="68" t="str">
        <f>HYPERLINK("#rangeid=906849400","Description")</f>
        <v>Description</v>
      </c>
      <c r="I1" s="41" t="s">
        <v>233</v>
      </c>
      <c r="J1" s="31" t="s">
        <v>234</v>
      </c>
      <c r="K1" s="42" t="s">
        <v>235</v>
      </c>
      <c r="L1" s="31" t="s">
        <v>236</v>
      </c>
      <c r="M1" s="31" t="s">
        <v>237</v>
      </c>
      <c r="N1" s="31" t="s">
        <v>238</v>
      </c>
      <c r="O1" s="31" t="s">
        <v>239</v>
      </c>
      <c r="P1" s="31" t="s">
        <v>240</v>
      </c>
      <c r="Q1" s="31" t="s">
        <v>241</v>
      </c>
      <c r="R1" s="43" t="s">
        <v>242</v>
      </c>
      <c r="S1" s="43" t="s">
        <v>243</v>
      </c>
      <c r="T1" s="43" t="s">
        <v>89</v>
      </c>
      <c r="U1" s="44" t="s">
        <v>244</v>
      </c>
      <c r="V1" s="45" t="s">
        <v>245</v>
      </c>
      <c r="W1" s="46" t="str">
        <f>HYPERLINK("#rangeid=120001109","Replay")</f>
        <v>Replay</v>
      </c>
      <c r="X1" s="47" t="s">
        <v>246</v>
      </c>
      <c r="Y1" s="48" t="s">
        <v>247</v>
      </c>
      <c r="Z1" s="49" t="s">
        <v>248</v>
      </c>
      <c r="AA1" s="50"/>
      <c r="AB1" s="50"/>
      <c r="AC1" s="50"/>
      <c r="AD1" s="50"/>
      <c r="AE1" s="50"/>
      <c r="AF1" s="50"/>
      <c r="AG1" s="50"/>
      <c r="AH1" s="50"/>
      <c r="AI1" s="50"/>
      <c r="AJ1" s="50"/>
      <c r="AK1" s="50"/>
    </row>
    <row r="2" spans="1:37">
      <c r="A2" s="111"/>
      <c r="B2" s="111"/>
      <c r="C2" s="111"/>
      <c r="D2" s="111"/>
      <c r="E2" s="111"/>
      <c r="F2" s="111"/>
      <c r="G2" s="111"/>
      <c r="H2" s="111"/>
      <c r="I2" s="111"/>
      <c r="J2" s="111"/>
      <c r="K2" s="111"/>
      <c r="L2" s="111"/>
      <c r="M2" s="111"/>
      <c r="N2" s="111"/>
      <c r="O2" s="111"/>
      <c r="P2" s="111"/>
      <c r="Q2" s="139"/>
      <c r="R2" s="113"/>
      <c r="S2" s="113"/>
      <c r="T2" s="113"/>
      <c r="U2" s="114"/>
      <c r="V2" s="115"/>
      <c r="W2" s="116"/>
      <c r="X2" s="117"/>
      <c r="Y2" s="111"/>
      <c r="Z2" s="111"/>
    </row>
    <row r="3" spans="1:37">
      <c r="A3" s="111"/>
      <c r="B3" s="111"/>
      <c r="C3" s="111"/>
      <c r="D3" s="111"/>
      <c r="E3" s="111"/>
      <c r="F3" s="111"/>
      <c r="G3" s="111"/>
      <c r="H3" s="111"/>
      <c r="I3" s="111"/>
      <c r="J3" s="111"/>
      <c r="K3" s="111"/>
      <c r="L3" s="111"/>
      <c r="M3" s="111"/>
      <c r="N3" s="111"/>
      <c r="O3" s="111"/>
      <c r="P3" s="111"/>
      <c r="Q3" s="139"/>
      <c r="R3" s="113"/>
      <c r="S3" s="113"/>
      <c r="T3" s="113"/>
      <c r="U3" s="114"/>
      <c r="V3" s="115"/>
      <c r="W3" s="116"/>
      <c r="X3" s="117"/>
      <c r="Y3" s="111"/>
      <c r="Z3" s="111"/>
    </row>
    <row r="4" spans="1:37">
      <c r="A4" s="111"/>
      <c r="B4" s="111"/>
      <c r="C4" s="111"/>
      <c r="D4" s="111"/>
      <c r="E4" s="111"/>
      <c r="F4" s="111"/>
      <c r="G4" s="111"/>
      <c r="H4" s="111"/>
      <c r="I4" s="111"/>
      <c r="J4" s="111"/>
      <c r="K4" s="111"/>
      <c r="L4" s="111"/>
      <c r="M4" s="111"/>
      <c r="N4" s="111"/>
      <c r="O4" s="111"/>
      <c r="P4" s="111"/>
      <c r="Q4" s="139"/>
      <c r="R4" s="113"/>
      <c r="S4" s="113"/>
      <c r="T4" s="113"/>
      <c r="U4" s="114"/>
      <c r="V4" s="115"/>
      <c r="W4" s="116"/>
      <c r="X4" s="117"/>
      <c r="Y4" s="111"/>
      <c r="Z4" s="111"/>
    </row>
    <row r="5" spans="1:37">
      <c r="A5" s="111"/>
      <c r="B5" s="111"/>
      <c r="C5" s="111"/>
      <c r="D5" s="111"/>
      <c r="E5" s="111"/>
      <c r="F5" s="111"/>
      <c r="G5" s="111"/>
      <c r="H5" s="111"/>
      <c r="I5" s="111"/>
      <c r="J5" s="111"/>
      <c r="K5" s="111"/>
      <c r="L5" s="111"/>
      <c r="M5" s="111"/>
      <c r="N5" s="111"/>
      <c r="O5" s="111"/>
      <c r="P5" s="111"/>
      <c r="Q5" s="139"/>
      <c r="R5" s="113"/>
      <c r="S5" s="113"/>
      <c r="T5" s="113"/>
      <c r="U5" s="114"/>
      <c r="V5" s="115"/>
      <c r="W5" s="116"/>
      <c r="X5" s="117"/>
      <c r="Y5" s="111"/>
      <c r="Z5" s="111"/>
    </row>
    <row r="6" spans="1:37">
      <c r="A6" s="111"/>
      <c r="B6" s="111"/>
      <c r="C6" s="111"/>
      <c r="D6" s="111"/>
      <c r="E6" s="111"/>
      <c r="F6" s="111"/>
      <c r="G6" s="111"/>
      <c r="H6" s="111"/>
      <c r="I6" s="111"/>
      <c r="J6" s="111"/>
      <c r="K6" s="111"/>
      <c r="L6" s="111"/>
      <c r="M6" s="111"/>
      <c r="N6" s="111"/>
      <c r="O6" s="111"/>
      <c r="P6" s="111"/>
      <c r="Q6" s="139"/>
      <c r="R6" s="113"/>
      <c r="S6" s="113"/>
      <c r="T6" s="113"/>
      <c r="U6" s="114"/>
      <c r="V6" s="115"/>
      <c r="W6" s="116"/>
      <c r="X6" s="117"/>
      <c r="Y6" s="111"/>
      <c r="Z6" s="111"/>
    </row>
    <row r="7" spans="1:37">
      <c r="A7" s="111"/>
      <c r="B7" s="111"/>
      <c r="C7" s="111"/>
      <c r="D7" s="111"/>
      <c r="E7" s="111"/>
      <c r="F7" s="111"/>
      <c r="G7" s="111"/>
      <c r="H7" s="111"/>
      <c r="I7" s="111"/>
      <c r="J7" s="111"/>
      <c r="K7" s="111"/>
      <c r="L7" s="111"/>
      <c r="M7" s="111"/>
      <c r="N7" s="111"/>
      <c r="O7" s="111"/>
      <c r="P7" s="111"/>
      <c r="Q7" s="139"/>
      <c r="R7" s="191"/>
      <c r="S7" s="191"/>
      <c r="T7" s="191"/>
      <c r="U7" s="192"/>
      <c r="V7" s="193"/>
      <c r="W7" s="194"/>
      <c r="X7" s="117"/>
      <c r="Y7" s="111"/>
      <c r="Z7" s="111"/>
    </row>
    <row r="8" spans="1:37">
      <c r="A8" s="111"/>
      <c r="B8" s="111"/>
      <c r="C8" s="111"/>
      <c r="D8" s="111"/>
      <c r="E8" s="111"/>
      <c r="F8" s="111"/>
      <c r="G8" s="111"/>
      <c r="H8" s="111"/>
      <c r="I8" s="111"/>
      <c r="J8" s="111"/>
      <c r="K8" s="111"/>
      <c r="L8" s="111"/>
      <c r="M8" s="111"/>
      <c r="N8" s="111"/>
      <c r="O8" s="111"/>
      <c r="P8" s="111"/>
      <c r="Q8" s="139"/>
      <c r="R8" s="191"/>
      <c r="S8" s="191"/>
      <c r="T8" s="191"/>
      <c r="U8" s="192"/>
      <c r="V8" s="193"/>
      <c r="W8" s="194"/>
      <c r="X8" s="117"/>
      <c r="Y8" s="111"/>
      <c r="Z8" s="111"/>
    </row>
    <row r="9" spans="1:37">
      <c r="A9" s="111"/>
      <c r="B9" s="111"/>
      <c r="C9" s="111"/>
      <c r="D9" s="111"/>
      <c r="E9" s="111"/>
      <c r="F9" s="111"/>
      <c r="G9" s="111"/>
      <c r="H9" s="111"/>
      <c r="I9" s="111"/>
      <c r="J9" s="111"/>
      <c r="K9" s="111"/>
      <c r="L9" s="111"/>
      <c r="M9" s="111"/>
      <c r="N9" s="111"/>
      <c r="O9" s="111"/>
      <c r="P9" s="111"/>
      <c r="Q9" s="139"/>
      <c r="R9" s="191"/>
      <c r="S9" s="191"/>
      <c r="T9" s="191"/>
      <c r="U9" s="192"/>
      <c r="V9" s="193"/>
      <c r="W9" s="194"/>
      <c r="X9" s="117"/>
      <c r="Y9" s="111"/>
      <c r="Z9" s="111"/>
    </row>
    <row r="10" spans="1:37">
      <c r="A10" s="111"/>
      <c r="B10" s="111"/>
      <c r="C10" s="111"/>
      <c r="D10" s="111"/>
      <c r="E10" s="111"/>
      <c r="F10" s="111"/>
      <c r="G10" s="111"/>
      <c r="H10" s="111"/>
      <c r="I10" s="111"/>
      <c r="J10" s="111"/>
      <c r="K10" s="111"/>
      <c r="L10" s="111"/>
      <c r="M10" s="111"/>
      <c r="N10" s="111"/>
      <c r="O10" s="111"/>
      <c r="P10" s="111"/>
      <c r="Q10" s="139"/>
      <c r="R10" s="191"/>
      <c r="S10" s="191"/>
      <c r="T10" s="191"/>
      <c r="U10" s="192"/>
      <c r="V10" s="193"/>
      <c r="W10" s="194"/>
      <c r="X10" s="117"/>
      <c r="Y10" s="111"/>
      <c r="Z10" s="111"/>
    </row>
    <row r="11" spans="1:37">
      <c r="A11" s="111"/>
      <c r="B11" s="111"/>
      <c r="C11" s="111"/>
      <c r="D11" s="111"/>
      <c r="E11" s="111"/>
      <c r="F11" s="111"/>
      <c r="G11" s="111"/>
      <c r="H11" s="111"/>
      <c r="I11" s="111"/>
      <c r="J11" s="111"/>
      <c r="K11" s="111"/>
      <c r="L11" s="111"/>
      <c r="M11" s="111"/>
      <c r="N11" s="111"/>
      <c r="O11" s="111"/>
      <c r="P11" s="111"/>
      <c r="Q11" s="139"/>
      <c r="R11" s="191"/>
      <c r="S11" s="191"/>
      <c r="T11" s="191"/>
      <c r="U11" s="192"/>
      <c r="V11" s="193"/>
      <c r="W11" s="194"/>
      <c r="X11" s="117"/>
      <c r="Y11" s="111"/>
      <c r="Z11" s="111"/>
    </row>
    <row r="12" spans="1:37">
      <c r="A12" s="111"/>
      <c r="B12" s="111"/>
      <c r="C12" s="111"/>
      <c r="D12" s="111"/>
      <c r="E12" s="111"/>
      <c r="F12" s="111"/>
      <c r="G12" s="111"/>
      <c r="H12" s="111"/>
      <c r="I12" s="111"/>
      <c r="J12" s="111"/>
      <c r="K12" s="111"/>
      <c r="L12" s="111"/>
      <c r="M12" s="111"/>
      <c r="N12" s="111"/>
      <c r="O12" s="111"/>
      <c r="P12" s="111"/>
      <c r="Q12" s="139"/>
      <c r="R12" s="191"/>
      <c r="S12" s="191"/>
      <c r="T12" s="191"/>
      <c r="U12" s="192"/>
      <c r="V12" s="193"/>
      <c r="W12" s="194"/>
      <c r="X12" s="117"/>
      <c r="Y12" s="111"/>
      <c r="Z12" s="111"/>
    </row>
    <row r="13" spans="1:37">
      <c r="A13" s="111"/>
      <c r="B13" s="111"/>
      <c r="C13" s="111"/>
      <c r="D13" s="111"/>
      <c r="E13" s="111"/>
      <c r="F13" s="111"/>
      <c r="G13" s="111"/>
      <c r="H13" s="111"/>
      <c r="I13" s="111"/>
      <c r="J13" s="111"/>
      <c r="K13" s="111"/>
      <c r="L13" s="111"/>
      <c r="M13" s="111"/>
      <c r="N13" s="111"/>
      <c r="O13" s="111"/>
      <c r="P13" s="111"/>
      <c r="Q13" s="139"/>
      <c r="R13" s="191"/>
      <c r="S13" s="191"/>
      <c r="T13" s="191"/>
      <c r="U13" s="192"/>
      <c r="V13" s="193"/>
      <c r="W13" s="194"/>
      <c r="X13" s="117"/>
      <c r="Y13" s="111"/>
      <c r="Z13" s="111"/>
    </row>
    <row r="14" spans="1:37">
      <c r="A14" s="111"/>
      <c r="B14" s="111"/>
      <c r="C14" s="111"/>
      <c r="D14" s="111"/>
      <c r="E14" s="111"/>
      <c r="F14" s="111"/>
      <c r="G14" s="111"/>
      <c r="H14" s="111"/>
      <c r="I14" s="111"/>
      <c r="J14" s="111"/>
      <c r="K14" s="111"/>
      <c r="L14" s="111"/>
      <c r="M14" s="111"/>
      <c r="N14" s="111"/>
      <c r="O14" s="111"/>
      <c r="P14" s="111"/>
      <c r="Q14" s="139"/>
      <c r="R14" s="191"/>
      <c r="S14" s="191"/>
      <c r="T14" s="191"/>
      <c r="U14" s="192"/>
      <c r="V14" s="193"/>
      <c r="W14" s="194"/>
      <c r="X14" s="117"/>
      <c r="Y14" s="111"/>
      <c r="Z14" s="111"/>
    </row>
    <row r="15" spans="1:37">
      <c r="A15" s="111"/>
      <c r="B15" s="111"/>
      <c r="C15" s="111"/>
      <c r="D15" s="111"/>
      <c r="E15" s="111"/>
      <c r="F15" s="111"/>
      <c r="G15" s="111"/>
      <c r="H15" s="111"/>
      <c r="I15" s="111"/>
      <c r="J15" s="111"/>
      <c r="K15" s="111"/>
      <c r="L15" s="111"/>
      <c r="M15" s="111"/>
      <c r="N15" s="111"/>
      <c r="O15" s="111"/>
      <c r="P15" s="111"/>
      <c r="Q15" s="139"/>
      <c r="R15" s="191"/>
      <c r="S15" s="191"/>
      <c r="T15" s="191"/>
      <c r="U15" s="192"/>
      <c r="V15" s="193"/>
      <c r="W15" s="194"/>
      <c r="X15" s="117"/>
      <c r="Y15" s="111"/>
      <c r="Z15" s="111"/>
    </row>
    <row r="16" spans="1:37">
      <c r="A16" s="111"/>
      <c r="B16" s="111"/>
      <c r="C16" s="111"/>
      <c r="D16" s="111"/>
      <c r="E16" s="111"/>
      <c r="F16" s="111"/>
      <c r="G16" s="111"/>
      <c r="H16" s="111"/>
      <c r="I16" s="111"/>
      <c r="J16" s="111"/>
      <c r="K16" s="111"/>
      <c r="L16" s="111"/>
      <c r="M16" s="111"/>
      <c r="N16" s="111"/>
      <c r="O16" s="111"/>
      <c r="P16" s="111"/>
      <c r="Q16" s="139"/>
      <c r="R16" s="191"/>
      <c r="S16" s="191"/>
      <c r="T16" s="191"/>
      <c r="U16" s="192"/>
      <c r="V16" s="193"/>
      <c r="W16" s="194"/>
      <c r="X16" s="117"/>
      <c r="Y16" s="111"/>
      <c r="Z16" s="111"/>
    </row>
    <row r="17" spans="1:26">
      <c r="A17" s="111"/>
      <c r="B17" s="111"/>
      <c r="C17" s="111"/>
      <c r="D17" s="111"/>
      <c r="E17" s="111"/>
      <c r="F17" s="111"/>
      <c r="G17" s="111"/>
      <c r="H17" s="111"/>
      <c r="I17" s="111"/>
      <c r="J17" s="111"/>
      <c r="K17" s="111"/>
      <c r="L17" s="111"/>
      <c r="M17" s="111"/>
      <c r="N17" s="111"/>
      <c r="O17" s="111"/>
      <c r="P17" s="111"/>
      <c r="Q17" s="139"/>
      <c r="R17" s="191"/>
      <c r="S17" s="191"/>
      <c r="T17" s="191"/>
      <c r="U17" s="192"/>
      <c r="V17" s="193"/>
      <c r="W17" s="194"/>
      <c r="X17" s="117"/>
      <c r="Y17" s="111"/>
      <c r="Z17" s="111"/>
    </row>
    <row r="18" spans="1:26">
      <c r="A18" s="111"/>
      <c r="B18" s="111"/>
      <c r="C18" s="111"/>
      <c r="D18" s="111"/>
      <c r="E18" s="111"/>
      <c r="F18" s="111"/>
      <c r="G18" s="111"/>
      <c r="H18" s="111"/>
      <c r="I18" s="111"/>
      <c r="J18" s="111"/>
      <c r="K18" s="111"/>
      <c r="L18" s="111"/>
      <c r="M18" s="111"/>
      <c r="N18" s="111"/>
      <c r="O18" s="111"/>
      <c r="P18" s="111"/>
      <c r="Q18" s="139"/>
      <c r="R18" s="191"/>
      <c r="S18" s="191"/>
      <c r="T18" s="191"/>
      <c r="U18" s="192"/>
      <c r="V18" s="193"/>
      <c r="W18" s="194"/>
      <c r="X18" s="117"/>
      <c r="Y18" s="111"/>
      <c r="Z18" s="111"/>
    </row>
    <row r="19" spans="1:26">
      <c r="A19" s="111"/>
      <c r="B19" s="111"/>
      <c r="C19" s="111"/>
      <c r="D19" s="111"/>
      <c r="E19" s="111"/>
      <c r="F19" s="111"/>
      <c r="G19" s="111"/>
      <c r="H19" s="111"/>
      <c r="I19" s="111"/>
      <c r="J19" s="111"/>
      <c r="K19" s="111"/>
      <c r="L19" s="111"/>
      <c r="M19" s="111"/>
      <c r="N19" s="111"/>
      <c r="O19" s="111"/>
      <c r="P19" s="111"/>
      <c r="Q19" s="139"/>
      <c r="R19" s="191"/>
      <c r="S19" s="191"/>
      <c r="T19" s="191"/>
      <c r="U19" s="192"/>
      <c r="V19" s="193"/>
      <c r="W19" s="194"/>
      <c r="X19" s="117"/>
      <c r="Y19" s="111"/>
      <c r="Z19" s="111"/>
    </row>
    <row r="20" spans="1:26">
      <c r="A20" s="111"/>
      <c r="B20" s="111"/>
      <c r="C20" s="111"/>
      <c r="D20" s="111"/>
      <c r="E20" s="111"/>
      <c r="F20" s="111"/>
      <c r="G20" s="111"/>
      <c r="H20" s="111"/>
      <c r="I20" s="111"/>
      <c r="J20" s="111"/>
      <c r="K20" s="111"/>
      <c r="L20" s="111"/>
      <c r="M20" s="111"/>
      <c r="N20" s="111"/>
      <c r="O20" s="111"/>
      <c r="P20" s="111"/>
      <c r="Q20" s="139"/>
      <c r="R20" s="191"/>
      <c r="S20" s="191"/>
      <c r="T20" s="191"/>
      <c r="U20" s="192"/>
      <c r="V20" s="193"/>
      <c r="W20" s="194"/>
      <c r="X20" s="117"/>
      <c r="Y20" s="111"/>
      <c r="Z20" s="111"/>
    </row>
    <row r="21" spans="1:26">
      <c r="A21" s="111"/>
      <c r="B21" s="111"/>
      <c r="C21" s="111"/>
      <c r="D21" s="111"/>
      <c r="E21" s="111"/>
      <c r="F21" s="111"/>
      <c r="G21" s="111"/>
      <c r="H21" s="111"/>
      <c r="I21" s="111"/>
      <c r="J21" s="111"/>
      <c r="K21" s="111"/>
      <c r="L21" s="111"/>
      <c r="M21" s="111"/>
      <c r="N21" s="111"/>
      <c r="O21" s="111"/>
      <c r="P21" s="111"/>
      <c r="Q21" s="139"/>
      <c r="R21" s="191"/>
      <c r="S21" s="191"/>
      <c r="T21" s="191"/>
      <c r="U21" s="192"/>
      <c r="V21" s="193"/>
      <c r="W21" s="194"/>
      <c r="X21" s="117"/>
      <c r="Y21" s="111"/>
      <c r="Z21" s="111"/>
    </row>
    <row r="22" spans="1:26">
      <c r="A22" s="111"/>
      <c r="B22" s="111"/>
      <c r="C22" s="111"/>
      <c r="D22" s="111"/>
      <c r="E22" s="111"/>
      <c r="F22" s="111"/>
      <c r="G22" s="111"/>
      <c r="H22" s="111"/>
      <c r="I22" s="111"/>
      <c r="J22" s="111"/>
      <c r="K22" s="111"/>
      <c r="L22" s="111"/>
      <c r="M22" s="111"/>
      <c r="N22" s="111"/>
      <c r="O22" s="111"/>
      <c r="P22" s="111"/>
      <c r="Q22" s="139"/>
      <c r="R22" s="191"/>
      <c r="S22" s="191"/>
      <c r="T22" s="191"/>
      <c r="U22" s="192"/>
      <c r="V22" s="193"/>
      <c r="W22" s="194"/>
      <c r="X22" s="117"/>
      <c r="Y22" s="111"/>
      <c r="Z22" s="111"/>
    </row>
    <row r="23" spans="1:26">
      <c r="A23" s="111"/>
      <c r="B23" s="111"/>
      <c r="C23" s="111"/>
      <c r="D23" s="111"/>
      <c r="E23" s="111"/>
      <c r="F23" s="111"/>
      <c r="G23" s="111"/>
      <c r="H23" s="111"/>
      <c r="I23" s="111"/>
      <c r="J23" s="111"/>
      <c r="K23" s="111"/>
      <c r="L23" s="111"/>
      <c r="M23" s="111"/>
      <c r="N23" s="111"/>
      <c r="O23" s="111"/>
      <c r="P23" s="111"/>
      <c r="Q23" s="139"/>
      <c r="R23" s="191"/>
      <c r="S23" s="191"/>
      <c r="T23" s="191"/>
      <c r="U23" s="192"/>
      <c r="V23" s="193"/>
      <c r="W23" s="194"/>
      <c r="X23" s="117"/>
      <c r="Y23" s="111"/>
      <c r="Z23" s="111"/>
    </row>
    <row r="24" spans="1:26">
      <c r="A24" s="111"/>
      <c r="B24" s="111"/>
      <c r="C24" s="111"/>
      <c r="D24" s="111"/>
      <c r="E24" s="111"/>
      <c r="F24" s="111"/>
      <c r="G24" s="111"/>
      <c r="H24" s="111"/>
      <c r="I24" s="111"/>
      <c r="J24" s="111"/>
      <c r="K24" s="111"/>
      <c r="L24" s="111"/>
      <c r="M24" s="111"/>
      <c r="N24" s="111"/>
      <c r="O24" s="111"/>
      <c r="P24" s="111"/>
      <c r="Q24" s="139"/>
      <c r="R24" s="191"/>
      <c r="S24" s="191"/>
      <c r="T24" s="191"/>
      <c r="U24" s="192"/>
      <c r="V24" s="193"/>
      <c r="W24" s="194"/>
      <c r="X24" s="117"/>
      <c r="Y24" s="111"/>
      <c r="Z24" s="111"/>
    </row>
    <row r="25" spans="1:26">
      <c r="A25" s="111"/>
      <c r="B25" s="111"/>
      <c r="C25" s="111"/>
      <c r="D25" s="111"/>
      <c r="E25" s="111"/>
      <c r="F25" s="111"/>
      <c r="G25" s="111"/>
      <c r="H25" s="111"/>
      <c r="I25" s="111"/>
      <c r="J25" s="111"/>
      <c r="K25" s="111"/>
      <c r="L25" s="111"/>
      <c r="M25" s="111"/>
      <c r="N25" s="111"/>
      <c r="O25" s="111"/>
      <c r="P25" s="111"/>
      <c r="Q25" s="139"/>
      <c r="R25" s="191"/>
      <c r="S25" s="191"/>
      <c r="T25" s="191"/>
      <c r="U25" s="192"/>
      <c r="V25" s="193"/>
      <c r="W25" s="194"/>
      <c r="X25" s="117"/>
      <c r="Y25" s="111"/>
      <c r="Z25" s="111"/>
    </row>
    <row r="26" spans="1:26">
      <c r="A26" s="111"/>
      <c r="B26" s="111"/>
      <c r="C26" s="111"/>
      <c r="D26" s="111"/>
      <c r="E26" s="111"/>
      <c r="F26" s="111"/>
      <c r="G26" s="111"/>
      <c r="H26" s="111"/>
      <c r="I26" s="111"/>
      <c r="J26" s="111"/>
      <c r="K26" s="111"/>
      <c r="L26" s="111"/>
      <c r="M26" s="111"/>
      <c r="N26" s="111"/>
      <c r="O26" s="111"/>
      <c r="P26" s="111"/>
      <c r="Q26" s="139"/>
      <c r="R26" s="191"/>
      <c r="S26" s="191"/>
      <c r="T26" s="191"/>
      <c r="U26" s="192"/>
      <c r="V26" s="193"/>
      <c r="W26" s="194"/>
      <c r="X26" s="117"/>
      <c r="Y26" s="111"/>
      <c r="Z26" s="111"/>
    </row>
    <row r="27" spans="1:26">
      <c r="A27" s="111"/>
      <c r="B27" s="111"/>
      <c r="C27" s="111"/>
      <c r="D27" s="111"/>
      <c r="E27" s="111"/>
      <c r="F27" s="111"/>
      <c r="G27" s="111"/>
      <c r="H27" s="111"/>
      <c r="I27" s="111"/>
      <c r="J27" s="111"/>
      <c r="K27" s="111"/>
      <c r="L27" s="111"/>
      <c r="M27" s="111"/>
      <c r="N27" s="111"/>
      <c r="O27" s="111"/>
      <c r="P27" s="111"/>
      <c r="Q27" s="139"/>
      <c r="R27" s="191"/>
      <c r="S27" s="191"/>
      <c r="T27" s="191"/>
      <c r="U27" s="192"/>
      <c r="V27" s="193"/>
      <c r="W27" s="194"/>
      <c r="X27" s="117"/>
      <c r="Y27" s="111"/>
      <c r="Z27" s="111"/>
    </row>
    <row r="28" spans="1:26">
      <c r="A28" s="111"/>
      <c r="B28" s="111"/>
      <c r="C28" s="111"/>
      <c r="D28" s="111"/>
      <c r="E28" s="111"/>
      <c r="F28" s="111"/>
      <c r="G28" s="111"/>
      <c r="H28" s="111"/>
      <c r="I28" s="111"/>
      <c r="J28" s="111"/>
      <c r="K28" s="111"/>
      <c r="L28" s="111"/>
      <c r="M28" s="111"/>
      <c r="N28" s="111"/>
      <c r="O28" s="111"/>
      <c r="P28" s="111"/>
      <c r="Q28" s="139"/>
      <c r="R28" s="191"/>
      <c r="S28" s="191"/>
      <c r="T28" s="191"/>
      <c r="U28" s="192"/>
      <c r="V28" s="193"/>
      <c r="W28" s="194"/>
      <c r="X28" s="117"/>
      <c r="Y28" s="111"/>
      <c r="Z28" s="111"/>
    </row>
    <row r="29" spans="1:26">
      <c r="A29" s="111"/>
      <c r="B29" s="111"/>
      <c r="C29" s="111"/>
      <c r="D29" s="111"/>
      <c r="E29" s="111"/>
      <c r="F29" s="111"/>
      <c r="G29" s="111"/>
      <c r="H29" s="111"/>
      <c r="I29" s="111"/>
      <c r="J29" s="111"/>
      <c r="K29" s="111"/>
      <c r="L29" s="111"/>
      <c r="M29" s="111"/>
      <c r="N29" s="111"/>
      <c r="O29" s="111"/>
      <c r="P29" s="111"/>
      <c r="Q29" s="139"/>
      <c r="R29" s="191"/>
      <c r="S29" s="191"/>
      <c r="T29" s="191"/>
      <c r="U29" s="192"/>
      <c r="V29" s="193"/>
      <c r="W29" s="194"/>
      <c r="X29" s="117"/>
      <c r="Y29" s="111"/>
      <c r="Z29" s="111"/>
    </row>
    <row r="30" spans="1:26">
      <c r="A30" s="111"/>
      <c r="B30" s="111"/>
      <c r="C30" s="111"/>
      <c r="D30" s="111"/>
      <c r="E30" s="111"/>
      <c r="F30" s="111"/>
      <c r="G30" s="111"/>
      <c r="H30" s="111"/>
      <c r="I30" s="111"/>
      <c r="J30" s="111"/>
      <c r="K30" s="111"/>
      <c r="L30" s="111"/>
      <c r="M30" s="111"/>
      <c r="N30" s="111"/>
      <c r="O30" s="111"/>
      <c r="P30" s="111"/>
      <c r="Q30" s="139"/>
      <c r="R30" s="191"/>
      <c r="S30" s="191"/>
      <c r="T30" s="191"/>
      <c r="U30" s="192"/>
      <c r="V30" s="193"/>
      <c r="W30" s="194"/>
      <c r="X30" s="117"/>
      <c r="Y30" s="111"/>
      <c r="Z30" s="111"/>
    </row>
    <row r="31" spans="1:26">
      <c r="A31" s="111"/>
      <c r="B31" s="111"/>
      <c r="C31" s="111"/>
      <c r="D31" s="111"/>
      <c r="E31" s="111"/>
      <c r="F31" s="111"/>
      <c r="G31" s="111"/>
      <c r="H31" s="111"/>
      <c r="I31" s="111"/>
      <c r="J31" s="111"/>
      <c r="K31" s="111"/>
      <c r="L31" s="111"/>
      <c r="M31" s="111"/>
      <c r="N31" s="111"/>
      <c r="O31" s="111"/>
      <c r="P31" s="111"/>
      <c r="Q31" s="139"/>
      <c r="R31" s="191"/>
      <c r="S31" s="191"/>
      <c r="T31" s="191"/>
      <c r="U31" s="192"/>
      <c r="V31" s="193"/>
      <c r="W31" s="194"/>
      <c r="X31" s="117"/>
      <c r="Y31" s="111"/>
      <c r="Z31" s="111"/>
    </row>
    <row r="32" spans="1:26">
      <c r="A32" s="111"/>
      <c r="B32" s="111"/>
      <c r="C32" s="111"/>
      <c r="D32" s="111"/>
      <c r="E32" s="111"/>
      <c r="F32" s="111"/>
      <c r="G32" s="111"/>
      <c r="H32" s="111"/>
      <c r="I32" s="111"/>
      <c r="J32" s="111"/>
      <c r="K32" s="111"/>
      <c r="L32" s="111"/>
      <c r="M32" s="111"/>
      <c r="N32" s="111"/>
      <c r="O32" s="111"/>
      <c r="P32" s="111"/>
      <c r="Q32" s="139"/>
      <c r="R32" s="191"/>
      <c r="S32" s="191"/>
      <c r="T32" s="191"/>
      <c r="U32" s="192"/>
      <c r="V32" s="193"/>
      <c r="W32" s="194"/>
      <c r="X32" s="117"/>
      <c r="Y32" s="111"/>
      <c r="Z32" s="111"/>
    </row>
    <row r="33" spans="1:26">
      <c r="A33" s="111"/>
      <c r="B33" s="111"/>
      <c r="C33" s="111"/>
      <c r="D33" s="111"/>
      <c r="E33" s="111"/>
      <c r="F33" s="111"/>
      <c r="G33" s="111"/>
      <c r="H33" s="111"/>
      <c r="I33" s="111"/>
      <c r="J33" s="111"/>
      <c r="K33" s="111"/>
      <c r="L33" s="111"/>
      <c r="M33" s="111"/>
      <c r="N33" s="111"/>
      <c r="O33" s="111"/>
      <c r="P33" s="111"/>
      <c r="Q33" s="139"/>
      <c r="R33" s="191"/>
      <c r="S33" s="191"/>
      <c r="T33" s="191"/>
      <c r="U33" s="192"/>
      <c r="V33" s="193"/>
      <c r="W33" s="194"/>
      <c r="X33" s="117"/>
      <c r="Y33" s="111"/>
      <c r="Z33" s="111"/>
    </row>
    <row r="34" spans="1:26">
      <c r="A34" s="111"/>
      <c r="B34" s="111"/>
      <c r="C34" s="111"/>
      <c r="D34" s="111"/>
      <c r="E34" s="111"/>
      <c r="F34" s="111"/>
      <c r="G34" s="111"/>
      <c r="H34" s="111"/>
      <c r="I34" s="111"/>
      <c r="J34" s="111"/>
      <c r="K34" s="111"/>
      <c r="L34" s="111"/>
      <c r="M34" s="111"/>
      <c r="N34" s="111"/>
      <c r="O34" s="111"/>
      <c r="P34" s="111"/>
      <c r="Q34" s="139"/>
      <c r="R34" s="191"/>
      <c r="S34" s="191"/>
      <c r="T34" s="191"/>
      <c r="U34" s="192"/>
      <c r="V34" s="193"/>
      <c r="W34" s="194"/>
      <c r="X34" s="117"/>
      <c r="Y34" s="111"/>
      <c r="Z34" s="111"/>
    </row>
    <row r="35" spans="1:26">
      <c r="A35" s="111"/>
      <c r="B35" s="111"/>
      <c r="C35" s="111"/>
      <c r="D35" s="111"/>
      <c r="E35" s="111"/>
      <c r="F35" s="111"/>
      <c r="G35" s="111"/>
      <c r="H35" s="111"/>
      <c r="I35" s="111"/>
      <c r="J35" s="111"/>
      <c r="K35" s="111"/>
      <c r="L35" s="111"/>
      <c r="M35" s="111"/>
      <c r="N35" s="111"/>
      <c r="O35" s="111"/>
      <c r="P35" s="111"/>
      <c r="Q35" s="139"/>
      <c r="R35" s="191"/>
      <c r="S35" s="191"/>
      <c r="T35" s="191"/>
      <c r="U35" s="192"/>
      <c r="V35" s="193"/>
      <c r="W35" s="194"/>
      <c r="X35" s="117"/>
      <c r="Y35" s="111"/>
      <c r="Z35" s="111"/>
    </row>
    <row r="36" spans="1:26">
      <c r="A36" s="111"/>
      <c r="B36" s="111"/>
      <c r="C36" s="111"/>
      <c r="D36" s="111"/>
      <c r="E36" s="111"/>
      <c r="F36" s="111"/>
      <c r="G36" s="111"/>
      <c r="H36" s="111"/>
      <c r="I36" s="111"/>
      <c r="J36" s="111"/>
      <c r="K36" s="111"/>
      <c r="L36" s="111"/>
      <c r="M36" s="111"/>
      <c r="N36" s="111"/>
      <c r="O36" s="111"/>
      <c r="P36" s="111"/>
      <c r="Q36" s="139"/>
      <c r="R36" s="191"/>
      <c r="S36" s="191"/>
      <c r="T36" s="191"/>
      <c r="U36" s="192"/>
      <c r="V36" s="193"/>
      <c r="W36" s="194"/>
      <c r="X36" s="117"/>
      <c r="Y36" s="111"/>
      <c r="Z36" s="111"/>
    </row>
    <row r="37" spans="1:26">
      <c r="A37" s="111"/>
      <c r="B37" s="111"/>
      <c r="C37" s="111"/>
      <c r="D37" s="111"/>
      <c r="E37" s="111"/>
      <c r="F37" s="111"/>
      <c r="G37" s="111"/>
      <c r="H37" s="111"/>
      <c r="I37" s="111"/>
      <c r="J37" s="111"/>
      <c r="K37" s="111"/>
      <c r="L37" s="111"/>
      <c r="M37" s="111"/>
      <c r="N37" s="111"/>
      <c r="O37" s="111"/>
      <c r="P37" s="111"/>
      <c r="Q37" s="139"/>
      <c r="R37" s="191"/>
      <c r="S37" s="191"/>
      <c r="T37" s="191"/>
      <c r="U37" s="192"/>
      <c r="V37" s="193"/>
      <c r="W37" s="194"/>
      <c r="X37" s="117"/>
      <c r="Y37" s="111"/>
      <c r="Z37" s="111"/>
    </row>
    <row r="38" spans="1:26">
      <c r="A38" s="111"/>
      <c r="B38" s="111"/>
      <c r="C38" s="111"/>
      <c r="D38" s="111"/>
      <c r="E38" s="111"/>
      <c r="F38" s="111"/>
      <c r="G38" s="111"/>
      <c r="H38" s="111"/>
      <c r="I38" s="111"/>
      <c r="J38" s="111"/>
      <c r="K38" s="111"/>
      <c r="L38" s="111"/>
      <c r="M38" s="111"/>
      <c r="N38" s="111"/>
      <c r="O38" s="111"/>
      <c r="P38" s="111"/>
      <c r="Q38" s="139"/>
      <c r="R38" s="191"/>
      <c r="S38" s="191"/>
      <c r="T38" s="191"/>
      <c r="U38" s="192"/>
      <c r="V38" s="193"/>
      <c r="W38" s="194"/>
      <c r="X38" s="117"/>
      <c r="Y38" s="111"/>
      <c r="Z38" s="111"/>
    </row>
    <row r="39" spans="1:26">
      <c r="A39" s="111"/>
      <c r="B39" s="111"/>
      <c r="C39" s="111"/>
      <c r="D39" s="111"/>
      <c r="E39" s="111"/>
      <c r="F39" s="111"/>
      <c r="G39" s="111"/>
      <c r="H39" s="111"/>
      <c r="I39" s="111"/>
      <c r="J39" s="111"/>
      <c r="K39" s="111"/>
      <c r="L39" s="111"/>
      <c r="M39" s="111"/>
      <c r="N39" s="111"/>
      <c r="O39" s="111"/>
      <c r="P39" s="111"/>
      <c r="Q39" s="139"/>
      <c r="R39" s="191"/>
      <c r="S39" s="191"/>
      <c r="T39" s="191"/>
      <c r="U39" s="192"/>
      <c r="V39" s="193"/>
      <c r="W39" s="194"/>
      <c r="X39" s="117"/>
      <c r="Y39" s="111"/>
      <c r="Z39" s="111"/>
    </row>
    <row r="40" spans="1:26">
      <c r="A40" s="111"/>
      <c r="B40" s="111"/>
      <c r="C40" s="111"/>
      <c r="D40" s="111"/>
      <c r="E40" s="111"/>
      <c r="F40" s="111"/>
      <c r="G40" s="111"/>
      <c r="H40" s="111"/>
      <c r="I40" s="111"/>
      <c r="J40" s="111"/>
      <c r="K40" s="111"/>
      <c r="L40" s="111"/>
      <c r="M40" s="111"/>
      <c r="N40" s="111"/>
      <c r="O40" s="111"/>
      <c r="P40" s="111"/>
      <c r="Q40" s="139"/>
      <c r="R40" s="191"/>
      <c r="S40" s="191"/>
      <c r="T40" s="191"/>
      <c r="U40" s="192"/>
      <c r="V40" s="193"/>
      <c r="W40" s="194"/>
      <c r="X40" s="117"/>
      <c r="Y40" s="111"/>
      <c r="Z40" s="111"/>
    </row>
    <row r="41" spans="1:26">
      <c r="A41" s="111"/>
      <c r="B41" s="111"/>
      <c r="C41" s="111"/>
      <c r="D41" s="111"/>
      <c r="E41" s="111"/>
      <c r="F41" s="111"/>
      <c r="G41" s="111"/>
      <c r="H41" s="111"/>
      <c r="I41" s="111"/>
      <c r="J41" s="111"/>
      <c r="K41" s="111"/>
      <c r="L41" s="111"/>
      <c r="M41" s="111"/>
      <c r="N41" s="111"/>
      <c r="O41" s="111"/>
      <c r="P41" s="111"/>
      <c r="Q41" s="139"/>
      <c r="R41" s="191"/>
      <c r="S41" s="191"/>
      <c r="T41" s="191"/>
      <c r="U41" s="192"/>
      <c r="V41" s="193"/>
      <c r="W41" s="194"/>
      <c r="X41" s="117"/>
      <c r="Y41" s="111"/>
      <c r="Z41" s="111"/>
    </row>
    <row r="42" spans="1:26">
      <c r="A42" s="111"/>
      <c r="B42" s="111"/>
      <c r="C42" s="111"/>
      <c r="D42" s="111"/>
      <c r="E42" s="111"/>
      <c r="F42" s="111"/>
      <c r="G42" s="111"/>
      <c r="H42" s="111"/>
      <c r="I42" s="111"/>
      <c r="J42" s="111"/>
      <c r="K42" s="111"/>
      <c r="L42" s="111"/>
      <c r="M42" s="111"/>
      <c r="N42" s="111"/>
      <c r="O42" s="111"/>
      <c r="P42" s="111"/>
      <c r="Q42" s="139"/>
      <c r="R42" s="191"/>
      <c r="S42" s="191"/>
      <c r="T42" s="191"/>
      <c r="U42" s="192"/>
      <c r="V42" s="193"/>
      <c r="W42" s="194"/>
      <c r="X42" s="117"/>
      <c r="Y42" s="111"/>
      <c r="Z42" s="111"/>
    </row>
    <row r="43" spans="1:26">
      <c r="A43" s="111"/>
      <c r="B43" s="111"/>
      <c r="C43" s="111"/>
      <c r="D43" s="111"/>
      <c r="E43" s="111"/>
      <c r="F43" s="111"/>
      <c r="G43" s="111"/>
      <c r="H43" s="111"/>
      <c r="I43" s="111"/>
      <c r="J43" s="111"/>
      <c r="K43" s="111"/>
      <c r="L43" s="111"/>
      <c r="M43" s="111"/>
      <c r="N43" s="111"/>
      <c r="O43" s="111"/>
      <c r="P43" s="111"/>
      <c r="Q43" s="139"/>
      <c r="R43" s="191"/>
      <c r="S43" s="191"/>
      <c r="T43" s="191"/>
      <c r="U43" s="192"/>
      <c r="V43" s="193"/>
      <c r="W43" s="194"/>
      <c r="X43" s="117"/>
      <c r="Y43" s="111"/>
      <c r="Z43" s="111"/>
    </row>
    <row r="44" spans="1:26">
      <c r="A44" s="111"/>
      <c r="B44" s="111"/>
      <c r="C44" s="111"/>
      <c r="D44" s="111"/>
      <c r="E44" s="111"/>
      <c r="F44" s="111"/>
      <c r="G44" s="111"/>
      <c r="H44" s="111"/>
      <c r="I44" s="111"/>
      <c r="J44" s="111"/>
      <c r="K44" s="111"/>
      <c r="L44" s="111"/>
      <c r="M44" s="111"/>
      <c r="N44" s="111"/>
      <c r="O44" s="111"/>
      <c r="P44" s="111"/>
      <c r="Q44" s="139"/>
      <c r="R44" s="191"/>
      <c r="S44" s="191"/>
      <c r="T44" s="191"/>
      <c r="U44" s="192"/>
      <c r="V44" s="193"/>
      <c r="W44" s="194"/>
      <c r="X44" s="117"/>
      <c r="Y44" s="111"/>
      <c r="Z44" s="111"/>
    </row>
    <row r="45" spans="1:26">
      <c r="A45" s="111"/>
      <c r="B45" s="111"/>
      <c r="C45" s="111"/>
      <c r="D45" s="111"/>
      <c r="E45" s="111"/>
      <c r="F45" s="111"/>
      <c r="G45" s="111"/>
      <c r="H45" s="111"/>
      <c r="I45" s="111"/>
      <c r="J45" s="111"/>
      <c r="K45" s="111"/>
      <c r="L45" s="111"/>
      <c r="M45" s="111"/>
      <c r="N45" s="111"/>
      <c r="O45" s="111"/>
      <c r="P45" s="111"/>
      <c r="Q45" s="139"/>
      <c r="R45" s="191"/>
      <c r="S45" s="191"/>
      <c r="T45" s="191"/>
      <c r="U45" s="192"/>
      <c r="V45" s="193"/>
      <c r="W45" s="194"/>
      <c r="X45" s="117"/>
      <c r="Y45" s="111"/>
      <c r="Z45" s="111"/>
    </row>
    <row r="46" spans="1:26">
      <c r="A46" s="111"/>
      <c r="B46" s="111"/>
      <c r="C46" s="111"/>
      <c r="D46" s="111"/>
      <c r="E46" s="111"/>
      <c r="F46" s="111"/>
      <c r="G46" s="111"/>
      <c r="H46" s="111"/>
      <c r="I46" s="111"/>
      <c r="J46" s="111"/>
      <c r="K46" s="111"/>
      <c r="L46" s="111"/>
      <c r="M46" s="111"/>
      <c r="N46" s="111"/>
      <c r="O46" s="111"/>
      <c r="P46" s="111"/>
      <c r="Q46" s="139"/>
      <c r="R46" s="191"/>
      <c r="S46" s="191"/>
      <c r="T46" s="191"/>
      <c r="U46" s="192"/>
      <c r="V46" s="193"/>
      <c r="W46" s="194"/>
      <c r="X46" s="117"/>
      <c r="Y46" s="111"/>
      <c r="Z46" s="111"/>
    </row>
    <row r="47" spans="1:26">
      <c r="A47" s="111"/>
      <c r="B47" s="111"/>
      <c r="C47" s="111"/>
      <c r="D47" s="111"/>
      <c r="E47" s="111"/>
      <c r="F47" s="111"/>
      <c r="G47" s="111"/>
      <c r="H47" s="111"/>
      <c r="I47" s="111"/>
      <c r="J47" s="111"/>
      <c r="K47" s="111"/>
      <c r="L47" s="111"/>
      <c r="M47" s="111"/>
      <c r="N47" s="111"/>
      <c r="O47" s="111"/>
      <c r="P47" s="111"/>
      <c r="Q47" s="139"/>
      <c r="R47" s="191"/>
      <c r="S47" s="191"/>
      <c r="T47" s="191"/>
      <c r="U47" s="192"/>
      <c r="V47" s="193"/>
      <c r="W47" s="194"/>
      <c r="X47" s="117"/>
      <c r="Y47" s="111"/>
      <c r="Z47" s="111"/>
    </row>
    <row r="48" spans="1:26">
      <c r="A48" s="111"/>
      <c r="B48" s="111"/>
      <c r="C48" s="111"/>
      <c r="D48" s="111"/>
      <c r="E48" s="111"/>
      <c r="F48" s="111"/>
      <c r="G48" s="111"/>
      <c r="H48" s="111"/>
      <c r="I48" s="111"/>
      <c r="J48" s="111"/>
      <c r="K48" s="111"/>
      <c r="L48" s="111"/>
      <c r="M48" s="111"/>
      <c r="N48" s="111"/>
      <c r="O48" s="111"/>
      <c r="P48" s="111"/>
      <c r="Q48" s="139"/>
      <c r="R48" s="191"/>
      <c r="S48" s="191"/>
      <c r="T48" s="191"/>
      <c r="U48" s="192"/>
      <c r="V48" s="193"/>
      <c r="W48" s="194"/>
      <c r="X48" s="117"/>
      <c r="Y48" s="111"/>
      <c r="Z48" s="111"/>
    </row>
    <row r="49" spans="1:26">
      <c r="A49" s="111"/>
      <c r="B49" s="111"/>
      <c r="C49" s="111"/>
      <c r="D49" s="111"/>
      <c r="E49" s="111"/>
      <c r="F49" s="111"/>
      <c r="G49" s="111"/>
      <c r="H49" s="111"/>
      <c r="I49" s="111"/>
      <c r="J49" s="111"/>
      <c r="K49" s="111"/>
      <c r="L49" s="111"/>
      <c r="M49" s="111"/>
      <c r="N49" s="111"/>
      <c r="O49" s="111"/>
      <c r="P49" s="111"/>
      <c r="Q49" s="139"/>
      <c r="R49" s="191"/>
      <c r="S49" s="191"/>
      <c r="T49" s="191"/>
      <c r="U49" s="192"/>
      <c r="V49" s="193"/>
      <c r="W49" s="194"/>
      <c r="X49" s="117"/>
      <c r="Y49" s="111"/>
      <c r="Z49" s="111"/>
    </row>
    <row r="50" spans="1:26">
      <c r="A50" s="111"/>
      <c r="B50" s="111"/>
      <c r="C50" s="111"/>
      <c r="D50" s="111"/>
      <c r="E50" s="111"/>
      <c r="F50" s="111"/>
      <c r="G50" s="111"/>
      <c r="H50" s="111"/>
      <c r="I50" s="111"/>
      <c r="J50" s="111"/>
      <c r="K50" s="111"/>
      <c r="L50" s="111"/>
      <c r="M50" s="111"/>
      <c r="N50" s="111"/>
      <c r="O50" s="111"/>
      <c r="P50" s="111"/>
      <c r="Q50" s="139"/>
      <c r="R50" s="191"/>
      <c r="S50" s="191"/>
      <c r="T50" s="191"/>
      <c r="U50" s="192"/>
      <c r="V50" s="193"/>
      <c r="W50" s="194"/>
      <c r="X50" s="117"/>
      <c r="Y50" s="111"/>
      <c r="Z50" s="111"/>
    </row>
    <row r="51" spans="1:26">
      <c r="A51" s="111"/>
      <c r="B51" s="111"/>
      <c r="C51" s="111"/>
      <c r="D51" s="111"/>
      <c r="E51" s="111"/>
      <c r="F51" s="111"/>
      <c r="G51" s="111"/>
      <c r="H51" s="111"/>
      <c r="I51" s="111"/>
      <c r="J51" s="111"/>
      <c r="K51" s="111"/>
      <c r="L51" s="111"/>
      <c r="M51" s="111"/>
      <c r="N51" s="111"/>
      <c r="O51" s="111"/>
      <c r="P51" s="111"/>
      <c r="Q51" s="139"/>
      <c r="R51" s="191"/>
      <c r="S51" s="191"/>
      <c r="T51" s="191"/>
      <c r="U51" s="192"/>
      <c r="V51" s="193"/>
      <c r="W51" s="194"/>
      <c r="X51" s="117"/>
      <c r="Y51" s="111"/>
      <c r="Z51" s="111"/>
    </row>
    <row r="52" spans="1:26">
      <c r="A52" s="111"/>
      <c r="B52" s="111"/>
      <c r="C52" s="111"/>
      <c r="D52" s="111"/>
      <c r="E52" s="111"/>
      <c r="F52" s="111"/>
      <c r="G52" s="111"/>
      <c r="H52" s="111"/>
      <c r="I52" s="111"/>
      <c r="J52" s="111"/>
      <c r="K52" s="111"/>
      <c r="L52" s="111"/>
      <c r="M52" s="111"/>
      <c r="N52" s="111"/>
      <c r="O52" s="111"/>
      <c r="P52" s="111"/>
      <c r="Q52" s="139"/>
      <c r="R52" s="191"/>
      <c r="S52" s="191"/>
      <c r="T52" s="191"/>
      <c r="U52" s="192"/>
      <c r="V52" s="193"/>
      <c r="W52" s="194"/>
      <c r="X52" s="117"/>
      <c r="Y52" s="111"/>
      <c r="Z52" s="111"/>
    </row>
    <row r="53" spans="1:26">
      <c r="A53" s="111"/>
      <c r="B53" s="111"/>
      <c r="C53" s="111"/>
      <c r="D53" s="111"/>
      <c r="E53" s="111"/>
      <c r="F53" s="111"/>
      <c r="G53" s="111"/>
      <c r="H53" s="111"/>
      <c r="I53" s="111"/>
      <c r="J53" s="111"/>
      <c r="K53" s="111"/>
      <c r="L53" s="111"/>
      <c r="M53" s="111"/>
      <c r="N53" s="111"/>
      <c r="O53" s="111"/>
      <c r="P53" s="111"/>
      <c r="Q53" s="139"/>
      <c r="R53" s="191"/>
      <c r="S53" s="191"/>
      <c r="T53" s="191"/>
      <c r="U53" s="192"/>
      <c r="V53" s="193"/>
      <c r="W53" s="194"/>
      <c r="X53" s="117"/>
      <c r="Y53" s="111"/>
      <c r="Z53" s="111"/>
    </row>
    <row r="54" spans="1:26">
      <c r="A54" s="111"/>
      <c r="B54" s="111"/>
      <c r="C54" s="111"/>
      <c r="D54" s="111"/>
      <c r="E54" s="111"/>
      <c r="F54" s="111"/>
      <c r="G54" s="111"/>
      <c r="H54" s="111"/>
      <c r="I54" s="111"/>
      <c r="J54" s="111"/>
      <c r="K54" s="111"/>
      <c r="L54" s="111"/>
      <c r="M54" s="111"/>
      <c r="N54" s="111"/>
      <c r="O54" s="111"/>
      <c r="P54" s="111"/>
      <c r="Q54" s="139"/>
      <c r="R54" s="191"/>
      <c r="S54" s="191"/>
      <c r="T54" s="191"/>
      <c r="U54" s="192"/>
      <c r="V54" s="193"/>
      <c r="W54" s="194"/>
      <c r="X54" s="117"/>
      <c r="Y54" s="111"/>
      <c r="Z54" s="111"/>
    </row>
    <row r="55" spans="1:26">
      <c r="A55" s="111"/>
      <c r="B55" s="111"/>
      <c r="C55" s="111"/>
      <c r="D55" s="111"/>
      <c r="E55" s="111"/>
      <c r="F55" s="111"/>
      <c r="G55" s="111"/>
      <c r="H55" s="111"/>
      <c r="I55" s="111"/>
      <c r="J55" s="111"/>
      <c r="K55" s="111"/>
      <c r="L55" s="111"/>
      <c r="M55" s="111"/>
      <c r="N55" s="111"/>
      <c r="O55" s="111"/>
      <c r="P55" s="111"/>
      <c r="Q55" s="139"/>
      <c r="R55" s="191"/>
      <c r="S55" s="191"/>
      <c r="T55" s="191"/>
      <c r="U55" s="192"/>
      <c r="V55" s="193"/>
      <c r="W55" s="194"/>
      <c r="X55" s="117"/>
      <c r="Y55" s="111"/>
      <c r="Z55" s="111"/>
    </row>
    <row r="56" spans="1:26">
      <c r="A56" s="111"/>
      <c r="B56" s="111"/>
      <c r="C56" s="111"/>
      <c r="D56" s="111"/>
      <c r="E56" s="111"/>
      <c r="F56" s="111"/>
      <c r="G56" s="111"/>
      <c r="H56" s="111"/>
      <c r="I56" s="111"/>
      <c r="J56" s="111"/>
      <c r="K56" s="111"/>
      <c r="L56" s="111"/>
      <c r="M56" s="111"/>
      <c r="N56" s="111"/>
      <c r="O56" s="111"/>
      <c r="P56" s="111"/>
      <c r="Q56" s="139"/>
      <c r="R56" s="191"/>
      <c r="S56" s="191"/>
      <c r="T56" s="191"/>
      <c r="U56" s="192"/>
      <c r="V56" s="193"/>
      <c r="W56" s="194"/>
      <c r="X56" s="117"/>
      <c r="Y56" s="111"/>
      <c r="Z56" s="111"/>
    </row>
    <row r="57" spans="1:26">
      <c r="A57" s="111"/>
      <c r="B57" s="111"/>
      <c r="C57" s="111"/>
      <c r="D57" s="111"/>
      <c r="E57" s="111"/>
      <c r="F57" s="111"/>
      <c r="G57" s="111"/>
      <c r="H57" s="111"/>
      <c r="I57" s="111"/>
      <c r="J57" s="111"/>
      <c r="K57" s="111"/>
      <c r="L57" s="111"/>
      <c r="M57" s="111"/>
      <c r="N57" s="111"/>
      <c r="O57" s="111"/>
      <c r="P57" s="111"/>
      <c r="Q57" s="139"/>
      <c r="R57" s="191"/>
      <c r="S57" s="191"/>
      <c r="T57" s="191"/>
      <c r="U57" s="192"/>
      <c r="V57" s="193"/>
      <c r="W57" s="194"/>
      <c r="X57" s="117"/>
      <c r="Y57" s="111"/>
      <c r="Z57" s="111"/>
    </row>
    <row r="58" spans="1:26">
      <c r="A58" s="111"/>
      <c r="B58" s="111"/>
      <c r="C58" s="111"/>
      <c r="D58" s="111"/>
      <c r="E58" s="111"/>
      <c r="F58" s="111"/>
      <c r="G58" s="111"/>
      <c r="H58" s="111"/>
      <c r="I58" s="111"/>
      <c r="J58" s="111"/>
      <c r="K58" s="111"/>
      <c r="L58" s="111"/>
      <c r="M58" s="111"/>
      <c r="N58" s="111"/>
      <c r="O58" s="111"/>
      <c r="P58" s="111"/>
      <c r="Q58" s="139"/>
      <c r="R58" s="191"/>
      <c r="S58" s="191"/>
      <c r="T58" s="191"/>
      <c r="U58" s="192"/>
      <c r="V58" s="193"/>
      <c r="W58" s="194"/>
      <c r="X58" s="117"/>
      <c r="Y58" s="111"/>
      <c r="Z58" s="111"/>
    </row>
    <row r="59" spans="1:26">
      <c r="A59" s="111"/>
      <c r="B59" s="111"/>
      <c r="C59" s="111"/>
      <c r="D59" s="111"/>
      <c r="E59" s="111"/>
      <c r="F59" s="111"/>
      <c r="G59" s="111"/>
      <c r="H59" s="111"/>
      <c r="I59" s="111"/>
      <c r="J59" s="111"/>
      <c r="K59" s="111"/>
      <c r="L59" s="111"/>
      <c r="M59" s="111"/>
      <c r="N59" s="111"/>
      <c r="O59" s="111"/>
      <c r="P59" s="111"/>
      <c r="Q59" s="139"/>
      <c r="R59" s="191"/>
      <c r="S59" s="191"/>
      <c r="T59" s="191"/>
      <c r="U59" s="192"/>
      <c r="V59" s="193"/>
      <c r="W59" s="194"/>
      <c r="X59" s="117"/>
      <c r="Y59" s="111"/>
      <c r="Z59" s="111"/>
    </row>
    <row r="60" spans="1:26">
      <c r="A60" s="111"/>
      <c r="B60" s="111"/>
      <c r="C60" s="111"/>
      <c r="D60" s="111"/>
      <c r="E60" s="111"/>
      <c r="F60" s="111"/>
      <c r="G60" s="111"/>
      <c r="H60" s="111"/>
      <c r="I60" s="111"/>
      <c r="J60" s="111"/>
      <c r="K60" s="111"/>
      <c r="L60" s="111"/>
      <c r="M60" s="111"/>
      <c r="N60" s="111"/>
      <c r="O60" s="111"/>
      <c r="P60" s="111"/>
      <c r="Q60" s="139"/>
      <c r="R60" s="191"/>
      <c r="S60" s="191"/>
      <c r="T60" s="191"/>
      <c r="U60" s="192"/>
      <c r="V60" s="193"/>
      <c r="W60" s="194"/>
      <c r="X60" s="117"/>
      <c r="Y60" s="111"/>
      <c r="Z60" s="111"/>
    </row>
    <row r="61" spans="1:26">
      <c r="A61" s="111"/>
      <c r="B61" s="111"/>
      <c r="C61" s="111"/>
      <c r="D61" s="111"/>
      <c r="E61" s="111"/>
      <c r="F61" s="111"/>
      <c r="G61" s="111"/>
      <c r="H61" s="111"/>
      <c r="I61" s="111"/>
      <c r="J61" s="111"/>
      <c r="K61" s="111"/>
      <c r="L61" s="111"/>
      <c r="M61" s="111"/>
      <c r="N61" s="111"/>
      <c r="O61" s="111"/>
      <c r="P61" s="111"/>
      <c r="Q61" s="139"/>
      <c r="R61" s="191"/>
      <c r="S61" s="191"/>
      <c r="T61" s="191"/>
      <c r="U61" s="192"/>
      <c r="V61" s="193"/>
      <c r="W61" s="194"/>
      <c r="X61" s="117"/>
      <c r="Y61" s="111"/>
      <c r="Z61" s="111"/>
    </row>
    <row r="62" spans="1:26">
      <c r="A62" s="111"/>
      <c r="B62" s="111"/>
      <c r="C62" s="111"/>
      <c r="D62" s="111"/>
      <c r="E62" s="111"/>
      <c r="F62" s="111"/>
      <c r="G62" s="111"/>
      <c r="H62" s="111"/>
      <c r="I62" s="111"/>
      <c r="J62" s="111"/>
      <c r="K62" s="111"/>
      <c r="L62" s="111"/>
      <c r="M62" s="111"/>
      <c r="N62" s="111"/>
      <c r="O62" s="111"/>
      <c r="P62" s="111"/>
      <c r="Q62" s="139"/>
      <c r="R62" s="191"/>
      <c r="S62" s="191"/>
      <c r="T62" s="191"/>
      <c r="U62" s="192"/>
      <c r="V62" s="193"/>
      <c r="W62" s="194"/>
      <c r="X62" s="117"/>
      <c r="Y62" s="111"/>
      <c r="Z62" s="111"/>
    </row>
    <row r="63" spans="1:26">
      <c r="A63" s="111"/>
      <c r="B63" s="111"/>
      <c r="C63" s="111"/>
      <c r="D63" s="111"/>
      <c r="E63" s="111"/>
      <c r="F63" s="111"/>
      <c r="G63" s="111"/>
      <c r="H63" s="111"/>
      <c r="I63" s="111"/>
      <c r="J63" s="111"/>
      <c r="K63" s="111"/>
      <c r="L63" s="111"/>
      <c r="M63" s="111"/>
      <c r="N63" s="111"/>
      <c r="O63" s="111"/>
      <c r="P63" s="111"/>
      <c r="Q63" s="139"/>
      <c r="R63" s="191"/>
      <c r="S63" s="191"/>
      <c r="T63" s="191"/>
      <c r="U63" s="192"/>
      <c r="V63" s="193"/>
      <c r="W63" s="194"/>
      <c r="X63" s="117"/>
      <c r="Y63" s="111"/>
      <c r="Z63" s="111"/>
    </row>
    <row r="64" spans="1:26">
      <c r="A64" s="111"/>
      <c r="B64" s="111"/>
      <c r="C64" s="111"/>
      <c r="D64" s="111"/>
      <c r="E64" s="111"/>
      <c r="F64" s="111"/>
      <c r="G64" s="111"/>
      <c r="H64" s="111"/>
      <c r="I64" s="111"/>
      <c r="J64" s="111"/>
      <c r="K64" s="111"/>
      <c r="L64" s="111"/>
      <c r="M64" s="111"/>
      <c r="N64" s="111"/>
      <c r="O64" s="111"/>
      <c r="P64" s="111"/>
      <c r="Q64" s="139"/>
      <c r="R64" s="191"/>
      <c r="S64" s="191"/>
      <c r="T64" s="191"/>
      <c r="U64" s="192"/>
      <c r="V64" s="193"/>
      <c r="W64" s="194"/>
      <c r="X64" s="117"/>
      <c r="Y64" s="111"/>
      <c r="Z64" s="111"/>
    </row>
    <row r="65" spans="1:26">
      <c r="A65" s="111"/>
      <c r="B65" s="111"/>
      <c r="C65" s="111"/>
      <c r="D65" s="111"/>
      <c r="E65" s="111"/>
      <c r="F65" s="111"/>
      <c r="G65" s="111"/>
      <c r="H65" s="111"/>
      <c r="I65" s="111"/>
      <c r="J65" s="111"/>
      <c r="K65" s="111"/>
      <c r="L65" s="111"/>
      <c r="M65" s="111"/>
      <c r="N65" s="111"/>
      <c r="O65" s="111"/>
      <c r="P65" s="111"/>
      <c r="Q65" s="139"/>
      <c r="R65" s="191"/>
      <c r="S65" s="191"/>
      <c r="T65" s="191"/>
      <c r="U65" s="192"/>
      <c r="V65" s="193"/>
      <c r="W65" s="194"/>
      <c r="X65" s="117"/>
      <c r="Y65" s="111"/>
      <c r="Z65" s="111"/>
    </row>
    <row r="66" spans="1:26">
      <c r="A66" s="111"/>
      <c r="B66" s="111"/>
      <c r="C66" s="111"/>
      <c r="D66" s="111"/>
      <c r="E66" s="111"/>
      <c r="F66" s="111"/>
      <c r="G66" s="111"/>
      <c r="H66" s="111"/>
      <c r="I66" s="111"/>
      <c r="J66" s="111"/>
      <c r="K66" s="111"/>
      <c r="L66" s="111"/>
      <c r="M66" s="111"/>
      <c r="N66" s="111"/>
      <c r="O66" s="111"/>
      <c r="P66" s="111"/>
      <c r="Q66" s="139"/>
      <c r="R66" s="191"/>
      <c r="S66" s="191"/>
      <c r="T66" s="191"/>
      <c r="U66" s="192"/>
      <c r="V66" s="193"/>
      <c r="W66" s="194"/>
      <c r="X66" s="117"/>
      <c r="Y66" s="111"/>
      <c r="Z66" s="111"/>
    </row>
    <row r="67" spans="1:26">
      <c r="A67" s="111"/>
      <c r="B67" s="111"/>
      <c r="C67" s="111"/>
      <c r="D67" s="111"/>
      <c r="E67" s="111"/>
      <c r="F67" s="111"/>
      <c r="G67" s="111"/>
      <c r="H67" s="111"/>
      <c r="I67" s="111"/>
      <c r="J67" s="111"/>
      <c r="K67" s="111"/>
      <c r="L67" s="111"/>
      <c r="M67" s="111"/>
      <c r="N67" s="111"/>
      <c r="O67" s="111"/>
      <c r="P67" s="111"/>
      <c r="Q67" s="139"/>
      <c r="R67" s="191"/>
      <c r="S67" s="191"/>
      <c r="T67" s="191"/>
      <c r="U67" s="192"/>
      <c r="V67" s="193"/>
      <c r="W67" s="194"/>
      <c r="X67" s="117"/>
      <c r="Y67" s="111"/>
      <c r="Z67" s="111"/>
    </row>
    <row r="68" spans="1:26">
      <c r="A68" s="111"/>
      <c r="B68" s="111"/>
      <c r="C68" s="111"/>
      <c r="D68" s="111"/>
      <c r="E68" s="111"/>
      <c r="F68" s="111"/>
      <c r="G68" s="111"/>
      <c r="H68" s="111"/>
      <c r="I68" s="111"/>
      <c r="J68" s="111"/>
      <c r="K68" s="111"/>
      <c r="L68" s="111"/>
      <c r="M68" s="111"/>
      <c r="N68" s="111"/>
      <c r="O68" s="111"/>
      <c r="P68" s="111"/>
      <c r="Q68" s="139"/>
      <c r="R68" s="191"/>
      <c r="S68" s="191"/>
      <c r="T68" s="191"/>
      <c r="U68" s="192"/>
      <c r="V68" s="193"/>
      <c r="W68" s="194"/>
      <c r="X68" s="117"/>
      <c r="Y68" s="111"/>
      <c r="Z68" s="111"/>
    </row>
    <row r="69" spans="1:26">
      <c r="A69" s="111"/>
      <c r="B69" s="111"/>
      <c r="C69" s="111"/>
      <c r="D69" s="111"/>
      <c r="E69" s="111"/>
      <c r="F69" s="111"/>
      <c r="G69" s="111"/>
      <c r="H69" s="111"/>
      <c r="I69" s="111"/>
      <c r="J69" s="111"/>
      <c r="K69" s="111"/>
      <c r="L69" s="111"/>
      <c r="M69" s="111"/>
      <c r="N69" s="111"/>
      <c r="O69" s="111"/>
      <c r="P69" s="111"/>
      <c r="Q69" s="139"/>
      <c r="R69" s="191"/>
      <c r="S69" s="191"/>
      <c r="T69" s="191"/>
      <c r="U69" s="192"/>
      <c r="V69" s="193"/>
      <c r="W69" s="194"/>
      <c r="X69" s="117"/>
      <c r="Y69" s="111"/>
      <c r="Z69" s="111"/>
    </row>
    <row r="70" spans="1:26">
      <c r="A70" s="111"/>
      <c r="B70" s="111"/>
      <c r="C70" s="111"/>
      <c r="D70" s="111"/>
      <c r="E70" s="111"/>
      <c r="F70" s="111"/>
      <c r="G70" s="111"/>
      <c r="H70" s="111"/>
      <c r="I70" s="111"/>
      <c r="J70" s="111"/>
      <c r="K70" s="111"/>
      <c r="L70" s="111"/>
      <c r="M70" s="111"/>
      <c r="N70" s="111"/>
      <c r="O70" s="111"/>
      <c r="P70" s="111"/>
      <c r="Q70" s="139"/>
      <c r="R70" s="191"/>
      <c r="S70" s="191"/>
      <c r="T70" s="191"/>
      <c r="U70" s="192"/>
      <c r="V70" s="193"/>
      <c r="W70" s="194"/>
      <c r="X70" s="117"/>
      <c r="Y70" s="111"/>
      <c r="Z70" s="111"/>
    </row>
    <row r="71" spans="1:26">
      <c r="A71" s="111"/>
      <c r="B71" s="111"/>
      <c r="C71" s="111"/>
      <c r="D71" s="111"/>
      <c r="E71" s="111"/>
      <c r="F71" s="111"/>
      <c r="G71" s="111"/>
      <c r="H71" s="111"/>
      <c r="I71" s="111"/>
      <c r="J71" s="111"/>
      <c r="K71" s="111"/>
      <c r="L71" s="111"/>
      <c r="M71" s="111"/>
      <c r="N71" s="111"/>
      <c r="O71" s="111"/>
      <c r="P71" s="111"/>
      <c r="Q71" s="139"/>
      <c r="R71" s="191"/>
      <c r="S71" s="191"/>
      <c r="T71" s="191"/>
      <c r="U71" s="192"/>
      <c r="V71" s="193"/>
      <c r="W71" s="194"/>
      <c r="X71" s="117"/>
      <c r="Y71" s="111"/>
      <c r="Z71" s="111"/>
    </row>
    <row r="72" spans="1:26">
      <c r="A72" s="111"/>
      <c r="B72" s="111"/>
      <c r="C72" s="111"/>
      <c r="D72" s="111"/>
      <c r="E72" s="111"/>
      <c r="F72" s="111"/>
      <c r="G72" s="111"/>
      <c r="H72" s="111"/>
      <c r="I72" s="111"/>
      <c r="J72" s="111"/>
      <c r="K72" s="111"/>
      <c r="L72" s="111"/>
      <c r="M72" s="111"/>
      <c r="N72" s="111"/>
      <c r="O72" s="111"/>
      <c r="P72" s="111"/>
      <c r="Q72" s="139"/>
      <c r="R72" s="191"/>
      <c r="S72" s="191"/>
      <c r="T72" s="191"/>
      <c r="U72" s="192"/>
      <c r="V72" s="193"/>
      <c r="W72" s="194"/>
      <c r="X72" s="117"/>
      <c r="Y72" s="111"/>
      <c r="Z72" s="111"/>
    </row>
    <row r="73" spans="1:26">
      <c r="A73" s="111"/>
      <c r="B73" s="111"/>
      <c r="C73" s="111"/>
      <c r="D73" s="111"/>
      <c r="E73" s="111"/>
      <c r="F73" s="111"/>
      <c r="G73" s="111"/>
      <c r="H73" s="111"/>
      <c r="I73" s="111"/>
      <c r="J73" s="111"/>
      <c r="K73" s="111"/>
      <c r="L73" s="111"/>
      <c r="M73" s="111"/>
      <c r="N73" s="111"/>
      <c r="O73" s="111"/>
      <c r="P73" s="111"/>
      <c r="Q73" s="139"/>
      <c r="R73" s="191"/>
      <c r="S73" s="191"/>
      <c r="T73" s="191"/>
      <c r="U73" s="192"/>
      <c r="V73" s="193"/>
      <c r="W73" s="194"/>
      <c r="X73" s="117"/>
      <c r="Y73" s="111"/>
      <c r="Z73" s="111"/>
    </row>
    <row r="74" spans="1:26">
      <c r="A74" s="111"/>
      <c r="B74" s="111"/>
      <c r="C74" s="111"/>
      <c r="D74" s="111"/>
      <c r="E74" s="111"/>
      <c r="F74" s="111"/>
      <c r="G74" s="111"/>
      <c r="H74" s="111"/>
      <c r="I74" s="111"/>
      <c r="J74" s="111"/>
      <c r="K74" s="111"/>
      <c r="L74" s="111"/>
      <c r="M74" s="111"/>
      <c r="N74" s="111"/>
      <c r="O74" s="111"/>
      <c r="P74" s="111"/>
      <c r="Q74" s="139"/>
      <c r="R74" s="191"/>
      <c r="S74" s="191"/>
      <c r="T74" s="191"/>
      <c r="U74" s="192"/>
      <c r="V74" s="193"/>
      <c r="W74" s="194"/>
      <c r="X74" s="117"/>
      <c r="Y74" s="111"/>
      <c r="Z74" s="111"/>
    </row>
    <row r="75" spans="1:26">
      <c r="A75" s="111"/>
      <c r="B75" s="111"/>
      <c r="C75" s="111"/>
      <c r="D75" s="111"/>
      <c r="E75" s="111"/>
      <c r="F75" s="111"/>
      <c r="G75" s="111"/>
      <c r="H75" s="111"/>
      <c r="I75" s="111"/>
      <c r="J75" s="111"/>
      <c r="K75" s="111"/>
      <c r="L75" s="111"/>
      <c r="M75" s="111"/>
      <c r="N75" s="111"/>
      <c r="O75" s="111"/>
      <c r="P75" s="111"/>
      <c r="Q75" s="139"/>
      <c r="R75" s="191"/>
      <c r="S75" s="191"/>
      <c r="T75" s="191"/>
      <c r="U75" s="192"/>
      <c r="V75" s="193"/>
      <c r="W75" s="194"/>
      <c r="X75" s="117"/>
      <c r="Y75" s="111"/>
      <c r="Z75" s="111"/>
    </row>
    <row r="76" spans="1:26">
      <c r="A76" s="111"/>
      <c r="B76" s="111"/>
      <c r="C76" s="111"/>
      <c r="D76" s="111"/>
      <c r="E76" s="111"/>
      <c r="F76" s="111"/>
      <c r="G76" s="111"/>
      <c r="H76" s="111"/>
      <c r="I76" s="111"/>
      <c r="J76" s="111"/>
      <c r="K76" s="111"/>
      <c r="L76" s="111"/>
      <c r="M76" s="111"/>
      <c r="N76" s="111"/>
      <c r="O76" s="111"/>
      <c r="P76" s="111"/>
      <c r="Q76" s="139"/>
      <c r="R76" s="191"/>
      <c r="S76" s="191"/>
      <c r="T76" s="191"/>
      <c r="U76" s="192"/>
      <c r="V76" s="193"/>
      <c r="W76" s="194"/>
      <c r="X76" s="117"/>
      <c r="Y76" s="111"/>
      <c r="Z76" s="111"/>
    </row>
    <row r="77" spans="1:26">
      <c r="A77" s="111"/>
      <c r="B77" s="111"/>
      <c r="C77" s="111"/>
      <c r="D77" s="111"/>
      <c r="E77" s="111"/>
      <c r="F77" s="111"/>
      <c r="G77" s="111"/>
      <c r="H77" s="111"/>
      <c r="I77" s="111"/>
      <c r="J77" s="111"/>
      <c r="K77" s="111"/>
      <c r="L77" s="111"/>
      <c r="M77" s="111"/>
      <c r="N77" s="111"/>
      <c r="O77" s="111"/>
      <c r="P77" s="111"/>
      <c r="Q77" s="139"/>
      <c r="R77" s="191"/>
      <c r="S77" s="191"/>
      <c r="T77" s="191"/>
      <c r="U77" s="192"/>
      <c r="V77" s="193"/>
      <c r="W77" s="194"/>
      <c r="X77" s="117"/>
      <c r="Y77" s="111"/>
      <c r="Z77" s="111"/>
    </row>
    <row r="78" spans="1:26">
      <c r="A78" s="111"/>
      <c r="B78" s="111"/>
      <c r="C78" s="111"/>
      <c r="D78" s="111"/>
      <c r="E78" s="111"/>
      <c r="F78" s="111"/>
      <c r="G78" s="111"/>
      <c r="H78" s="111"/>
      <c r="I78" s="111"/>
      <c r="J78" s="111"/>
      <c r="K78" s="111"/>
      <c r="L78" s="111"/>
      <c r="M78" s="111"/>
      <c r="N78" s="111"/>
      <c r="O78" s="111"/>
      <c r="P78" s="111"/>
      <c r="Q78" s="139"/>
      <c r="R78" s="191"/>
      <c r="S78" s="191"/>
      <c r="T78" s="191"/>
      <c r="U78" s="192"/>
      <c r="V78" s="193"/>
      <c r="W78" s="194"/>
      <c r="X78" s="117"/>
      <c r="Y78" s="111"/>
      <c r="Z78" s="111"/>
    </row>
    <row r="79" spans="1:26">
      <c r="A79" s="111"/>
      <c r="B79" s="111"/>
      <c r="C79" s="111"/>
      <c r="D79" s="111"/>
      <c r="E79" s="111"/>
      <c r="F79" s="111"/>
      <c r="G79" s="111"/>
      <c r="H79" s="111"/>
      <c r="I79" s="111"/>
      <c r="J79" s="111"/>
      <c r="K79" s="111"/>
      <c r="L79" s="111"/>
      <c r="M79" s="111"/>
      <c r="N79" s="111"/>
      <c r="O79" s="111"/>
      <c r="P79" s="111"/>
      <c r="Q79" s="139"/>
      <c r="R79" s="191"/>
      <c r="S79" s="191"/>
      <c r="T79" s="191"/>
      <c r="U79" s="192"/>
      <c r="V79" s="193"/>
      <c r="W79" s="194"/>
      <c r="X79" s="117"/>
      <c r="Y79" s="111"/>
      <c r="Z79" s="111"/>
    </row>
    <row r="80" spans="1:26">
      <c r="A80" s="111"/>
      <c r="B80" s="111"/>
      <c r="C80" s="111"/>
      <c r="D80" s="111"/>
      <c r="E80" s="111"/>
      <c r="F80" s="111"/>
      <c r="G80" s="111"/>
      <c r="H80" s="111"/>
      <c r="I80" s="111"/>
      <c r="J80" s="111"/>
      <c r="K80" s="111"/>
      <c r="L80" s="111"/>
      <c r="M80" s="111"/>
      <c r="N80" s="111"/>
      <c r="O80" s="111"/>
      <c r="P80" s="111"/>
      <c r="Q80" s="139"/>
      <c r="R80" s="191"/>
      <c r="S80" s="191"/>
      <c r="T80" s="191"/>
      <c r="U80" s="192"/>
      <c r="V80" s="193"/>
      <c r="W80" s="194"/>
      <c r="X80" s="117"/>
      <c r="Y80" s="111"/>
      <c r="Z80" s="111"/>
    </row>
    <row r="81" spans="1:26">
      <c r="A81" s="111"/>
      <c r="B81" s="111"/>
      <c r="C81" s="111"/>
      <c r="D81" s="111"/>
      <c r="E81" s="111"/>
      <c r="F81" s="111"/>
      <c r="G81" s="111"/>
      <c r="H81" s="111"/>
      <c r="I81" s="111"/>
      <c r="J81" s="111"/>
      <c r="K81" s="111"/>
      <c r="L81" s="111"/>
      <c r="M81" s="111"/>
      <c r="N81" s="111"/>
      <c r="O81" s="111"/>
      <c r="P81" s="111"/>
      <c r="Q81" s="139"/>
      <c r="R81" s="191"/>
      <c r="S81" s="191"/>
      <c r="T81" s="191"/>
      <c r="U81" s="192"/>
      <c r="V81" s="193"/>
      <c r="W81" s="194"/>
      <c r="X81" s="117"/>
      <c r="Y81" s="111"/>
      <c r="Z81" s="111"/>
    </row>
    <row r="82" spans="1:26">
      <c r="A82" s="111"/>
      <c r="B82" s="111"/>
      <c r="C82" s="111"/>
      <c r="D82" s="111"/>
      <c r="E82" s="111"/>
      <c r="F82" s="111"/>
      <c r="G82" s="111"/>
      <c r="H82" s="111"/>
      <c r="I82" s="111"/>
      <c r="J82" s="111"/>
      <c r="K82" s="111"/>
      <c r="L82" s="111"/>
      <c r="M82" s="111"/>
      <c r="N82" s="111"/>
      <c r="O82" s="111"/>
      <c r="P82" s="111"/>
      <c r="Q82" s="139"/>
      <c r="R82" s="191"/>
      <c r="S82" s="191"/>
      <c r="T82" s="191"/>
      <c r="U82" s="192"/>
      <c r="V82" s="193"/>
      <c r="W82" s="194"/>
      <c r="X82" s="117"/>
      <c r="Y82" s="111"/>
      <c r="Z82" s="111"/>
    </row>
    <row r="83" spans="1:26">
      <c r="A83" s="111"/>
      <c r="B83" s="111"/>
      <c r="C83" s="111"/>
      <c r="D83" s="111"/>
      <c r="E83" s="111"/>
      <c r="F83" s="111"/>
      <c r="G83" s="111"/>
      <c r="H83" s="111"/>
      <c r="I83" s="111"/>
      <c r="J83" s="111"/>
      <c r="K83" s="111"/>
      <c r="L83" s="111"/>
      <c r="M83" s="111"/>
      <c r="N83" s="111"/>
      <c r="O83" s="111"/>
      <c r="P83" s="111"/>
      <c r="Q83" s="139"/>
      <c r="R83" s="191"/>
      <c r="S83" s="191"/>
      <c r="T83" s="191"/>
      <c r="U83" s="192"/>
      <c r="V83" s="193"/>
      <c r="W83" s="194"/>
      <c r="X83" s="117"/>
      <c r="Y83" s="111"/>
      <c r="Z83" s="111"/>
    </row>
    <row r="84" spans="1:26">
      <c r="A84" s="111"/>
      <c r="B84" s="111"/>
      <c r="C84" s="111"/>
      <c r="D84" s="111"/>
      <c r="E84" s="111"/>
      <c r="F84" s="111"/>
      <c r="G84" s="111"/>
      <c r="H84" s="111"/>
      <c r="I84" s="111"/>
      <c r="J84" s="111"/>
      <c r="K84" s="111"/>
      <c r="L84" s="111"/>
      <c r="M84" s="111"/>
      <c r="N84" s="111"/>
      <c r="O84" s="111"/>
      <c r="P84" s="111"/>
      <c r="Q84" s="139"/>
      <c r="R84" s="191"/>
      <c r="S84" s="191"/>
      <c r="T84" s="191"/>
      <c r="U84" s="192"/>
      <c r="V84" s="193"/>
      <c r="W84" s="194"/>
      <c r="X84" s="117"/>
      <c r="Y84" s="111"/>
      <c r="Z84" s="111"/>
    </row>
    <row r="85" spans="1:26">
      <c r="A85" s="111"/>
      <c r="B85" s="111"/>
      <c r="C85" s="111"/>
      <c r="D85" s="111"/>
      <c r="E85" s="111"/>
      <c r="F85" s="111"/>
      <c r="G85" s="111"/>
      <c r="H85" s="111"/>
      <c r="I85" s="111"/>
      <c r="J85" s="111"/>
      <c r="K85" s="111"/>
      <c r="L85" s="111"/>
      <c r="M85" s="111"/>
      <c r="N85" s="111"/>
      <c r="O85" s="111"/>
      <c r="P85" s="111"/>
      <c r="Q85" s="139"/>
      <c r="R85" s="191"/>
      <c r="S85" s="191"/>
      <c r="T85" s="191"/>
      <c r="U85" s="192"/>
      <c r="V85" s="193"/>
      <c r="W85" s="194"/>
      <c r="X85" s="117"/>
      <c r="Y85" s="111"/>
      <c r="Z85" s="111"/>
    </row>
    <row r="86" spans="1:26">
      <c r="A86" s="111"/>
      <c r="B86" s="111"/>
      <c r="C86" s="111"/>
      <c r="D86" s="111"/>
      <c r="E86" s="111"/>
      <c r="F86" s="111"/>
      <c r="G86" s="111"/>
      <c r="H86" s="111"/>
      <c r="I86" s="111"/>
      <c r="J86" s="111"/>
      <c r="K86" s="111"/>
      <c r="L86" s="111"/>
      <c r="M86" s="111"/>
      <c r="N86" s="111"/>
      <c r="O86" s="111"/>
      <c r="P86" s="111"/>
      <c r="Q86" s="139"/>
      <c r="R86" s="191"/>
      <c r="S86" s="191"/>
      <c r="T86" s="191"/>
      <c r="U86" s="192"/>
      <c r="V86" s="193"/>
      <c r="W86" s="194"/>
      <c r="X86" s="117"/>
      <c r="Y86" s="111"/>
      <c r="Z86" s="111"/>
    </row>
    <row r="87" spans="1:26">
      <c r="A87" s="111"/>
      <c r="B87" s="111"/>
      <c r="C87" s="111"/>
      <c r="D87" s="111"/>
      <c r="E87" s="111"/>
      <c r="F87" s="111"/>
      <c r="G87" s="111"/>
      <c r="H87" s="111"/>
      <c r="I87" s="111"/>
      <c r="J87" s="111"/>
      <c r="K87" s="111"/>
      <c r="L87" s="111"/>
      <c r="M87" s="111"/>
      <c r="N87" s="111"/>
      <c r="O87" s="111"/>
      <c r="P87" s="111"/>
      <c r="Q87" s="139"/>
      <c r="R87" s="191"/>
      <c r="S87" s="191"/>
      <c r="T87" s="191"/>
      <c r="U87" s="192"/>
      <c r="V87" s="193"/>
      <c r="W87" s="194"/>
      <c r="X87" s="117"/>
      <c r="Y87" s="111"/>
      <c r="Z87" s="111"/>
    </row>
    <row r="88" spans="1:26">
      <c r="A88" s="111"/>
      <c r="B88" s="111"/>
      <c r="C88" s="111"/>
      <c r="D88" s="111"/>
      <c r="E88" s="111"/>
      <c r="F88" s="111"/>
      <c r="G88" s="111"/>
      <c r="H88" s="111"/>
      <c r="I88" s="111"/>
      <c r="J88" s="111"/>
      <c r="K88" s="111"/>
      <c r="L88" s="111"/>
      <c r="M88" s="111"/>
      <c r="N88" s="111"/>
      <c r="O88" s="111"/>
      <c r="P88" s="111"/>
      <c r="Q88" s="139"/>
      <c r="R88" s="191"/>
      <c r="S88" s="191"/>
      <c r="T88" s="191"/>
      <c r="U88" s="192"/>
      <c r="V88" s="193"/>
      <c r="W88" s="194"/>
      <c r="X88" s="117"/>
      <c r="Y88" s="111"/>
      <c r="Z88" s="111"/>
    </row>
    <row r="89" spans="1:26">
      <c r="A89" s="111"/>
      <c r="B89" s="111"/>
      <c r="C89" s="111"/>
      <c r="D89" s="111"/>
      <c r="E89" s="111"/>
      <c r="F89" s="111"/>
      <c r="G89" s="111"/>
      <c r="H89" s="111"/>
      <c r="I89" s="111"/>
      <c r="J89" s="111"/>
      <c r="K89" s="111"/>
      <c r="L89" s="111"/>
      <c r="M89" s="111"/>
      <c r="N89" s="111"/>
      <c r="O89" s="111"/>
      <c r="P89" s="111"/>
      <c r="Q89" s="139"/>
      <c r="R89" s="191"/>
      <c r="S89" s="191"/>
      <c r="T89" s="191"/>
      <c r="U89" s="192"/>
      <c r="V89" s="193"/>
      <c r="W89" s="194"/>
      <c r="X89" s="117"/>
      <c r="Y89" s="111"/>
      <c r="Z89" s="111"/>
    </row>
    <row r="90" spans="1:26">
      <c r="A90" s="111"/>
      <c r="B90" s="111"/>
      <c r="C90" s="111"/>
      <c r="D90" s="111"/>
      <c r="E90" s="111"/>
      <c r="F90" s="111"/>
      <c r="G90" s="111"/>
      <c r="H90" s="111"/>
      <c r="I90" s="111"/>
      <c r="J90" s="111"/>
      <c r="K90" s="111"/>
      <c r="L90" s="111"/>
      <c r="M90" s="111"/>
      <c r="N90" s="111"/>
      <c r="O90" s="111"/>
      <c r="P90" s="111"/>
      <c r="Q90" s="139"/>
      <c r="R90" s="191"/>
      <c r="S90" s="191"/>
      <c r="T90" s="191"/>
      <c r="U90" s="192"/>
      <c r="V90" s="193"/>
      <c r="W90" s="194"/>
      <c r="X90" s="117"/>
      <c r="Y90" s="111"/>
      <c r="Z90" s="111"/>
    </row>
    <row r="91" spans="1:26">
      <c r="A91" s="111"/>
      <c r="B91" s="111"/>
      <c r="C91" s="111"/>
      <c r="D91" s="111"/>
      <c r="E91" s="111"/>
      <c r="F91" s="111"/>
      <c r="G91" s="111"/>
      <c r="H91" s="111"/>
      <c r="I91" s="111"/>
      <c r="J91" s="111"/>
      <c r="K91" s="111"/>
      <c r="L91" s="111"/>
      <c r="M91" s="111"/>
      <c r="N91" s="111"/>
      <c r="O91" s="111"/>
      <c r="P91" s="111"/>
      <c r="Q91" s="139"/>
      <c r="R91" s="191"/>
      <c r="S91" s="191"/>
      <c r="T91" s="191"/>
      <c r="U91" s="192"/>
      <c r="V91" s="193"/>
      <c r="W91" s="194"/>
      <c r="X91" s="117"/>
      <c r="Y91" s="111"/>
      <c r="Z91" s="111"/>
    </row>
    <row r="92" spans="1:26">
      <c r="A92" s="111"/>
      <c r="B92" s="111"/>
      <c r="C92" s="111"/>
      <c r="D92" s="111"/>
      <c r="E92" s="111"/>
      <c r="F92" s="111"/>
      <c r="G92" s="111"/>
      <c r="H92" s="111"/>
      <c r="I92" s="111"/>
      <c r="J92" s="111"/>
      <c r="K92" s="111"/>
      <c r="L92" s="111"/>
      <c r="M92" s="111"/>
      <c r="N92" s="111"/>
      <c r="O92" s="111"/>
      <c r="P92" s="111"/>
      <c r="Q92" s="139"/>
      <c r="R92" s="191"/>
      <c r="S92" s="191"/>
      <c r="T92" s="191"/>
      <c r="U92" s="192"/>
      <c r="V92" s="193"/>
      <c r="W92" s="194"/>
      <c r="X92" s="117"/>
      <c r="Y92" s="111"/>
      <c r="Z92" s="111"/>
    </row>
    <row r="93" spans="1:26">
      <c r="A93" s="111"/>
      <c r="B93" s="111"/>
      <c r="C93" s="111"/>
      <c r="D93" s="111"/>
      <c r="E93" s="111"/>
      <c r="F93" s="111"/>
      <c r="G93" s="111"/>
      <c r="H93" s="111"/>
      <c r="I93" s="111"/>
      <c r="J93" s="111"/>
      <c r="K93" s="111"/>
      <c r="L93" s="111"/>
      <c r="M93" s="111"/>
      <c r="N93" s="111"/>
      <c r="O93" s="111"/>
      <c r="P93" s="111"/>
      <c r="Q93" s="139"/>
      <c r="R93" s="191"/>
      <c r="S93" s="191"/>
      <c r="T93" s="191"/>
      <c r="U93" s="192"/>
      <c r="V93" s="193"/>
      <c r="W93" s="194"/>
      <c r="X93" s="117"/>
      <c r="Y93" s="111"/>
      <c r="Z93" s="111"/>
    </row>
    <row r="94" spans="1:26">
      <c r="A94" s="111"/>
      <c r="B94" s="111"/>
      <c r="C94" s="111"/>
      <c r="D94" s="111"/>
      <c r="E94" s="111"/>
      <c r="F94" s="111"/>
      <c r="G94" s="111"/>
      <c r="H94" s="111"/>
      <c r="I94" s="111"/>
      <c r="J94" s="111"/>
      <c r="K94" s="111"/>
      <c r="L94" s="111"/>
      <c r="M94" s="111"/>
      <c r="N94" s="111"/>
      <c r="O94" s="111"/>
      <c r="P94" s="111"/>
      <c r="Q94" s="139"/>
      <c r="R94" s="191"/>
      <c r="S94" s="191"/>
      <c r="T94" s="191"/>
      <c r="U94" s="192"/>
      <c r="V94" s="193"/>
      <c r="W94" s="194"/>
      <c r="X94" s="117"/>
      <c r="Y94" s="111"/>
      <c r="Z94" s="111"/>
    </row>
    <row r="95" spans="1:26">
      <c r="A95" s="111"/>
      <c r="B95" s="111"/>
      <c r="C95" s="111"/>
      <c r="D95" s="111"/>
      <c r="E95" s="111"/>
      <c r="F95" s="111"/>
      <c r="G95" s="111"/>
      <c r="H95" s="111"/>
      <c r="I95" s="111"/>
      <c r="J95" s="111"/>
      <c r="K95" s="111"/>
      <c r="L95" s="111"/>
      <c r="M95" s="111"/>
      <c r="N95" s="111"/>
      <c r="O95" s="111"/>
      <c r="P95" s="111"/>
      <c r="Q95" s="139"/>
      <c r="R95" s="191"/>
      <c r="S95" s="191"/>
      <c r="T95" s="191"/>
      <c r="U95" s="192"/>
      <c r="V95" s="193"/>
      <c r="W95" s="194"/>
      <c r="X95" s="117"/>
      <c r="Y95" s="111"/>
      <c r="Z95" s="111"/>
    </row>
    <row r="96" spans="1:26">
      <c r="A96" s="111"/>
      <c r="B96" s="111"/>
      <c r="C96" s="111"/>
      <c r="D96" s="111"/>
      <c r="E96" s="111"/>
      <c r="F96" s="111"/>
      <c r="G96" s="111"/>
      <c r="H96" s="111"/>
      <c r="I96" s="111"/>
      <c r="J96" s="111"/>
      <c r="K96" s="111"/>
      <c r="L96" s="111"/>
      <c r="M96" s="111"/>
      <c r="N96" s="111"/>
      <c r="O96" s="111"/>
      <c r="P96" s="111"/>
      <c r="Q96" s="139"/>
      <c r="R96" s="191"/>
      <c r="S96" s="191"/>
      <c r="T96" s="191"/>
      <c r="U96" s="192"/>
      <c r="V96" s="193"/>
      <c r="W96" s="194"/>
      <c r="X96" s="117"/>
      <c r="Y96" s="111"/>
      <c r="Z96" s="111"/>
    </row>
    <row r="97" spans="1:26">
      <c r="A97" s="111"/>
      <c r="B97" s="111"/>
      <c r="C97" s="111"/>
      <c r="D97" s="111"/>
      <c r="E97" s="111"/>
      <c r="F97" s="111"/>
      <c r="G97" s="111"/>
      <c r="H97" s="111"/>
      <c r="I97" s="111"/>
      <c r="J97" s="111"/>
      <c r="K97" s="111"/>
      <c r="L97" s="111"/>
      <c r="M97" s="111"/>
      <c r="N97" s="111"/>
      <c r="O97" s="111"/>
      <c r="P97" s="111"/>
      <c r="Q97" s="139"/>
      <c r="R97" s="191"/>
      <c r="S97" s="191"/>
      <c r="T97" s="191"/>
      <c r="U97" s="192"/>
      <c r="V97" s="193"/>
      <c r="W97" s="194"/>
      <c r="X97" s="117"/>
      <c r="Y97" s="111"/>
      <c r="Z97" s="111"/>
    </row>
    <row r="98" spans="1:26">
      <c r="A98" s="111"/>
      <c r="B98" s="111"/>
      <c r="C98" s="111"/>
      <c r="D98" s="111"/>
      <c r="E98" s="111"/>
      <c r="F98" s="111"/>
      <c r="G98" s="111"/>
      <c r="H98" s="111"/>
      <c r="I98" s="111"/>
      <c r="J98" s="111"/>
      <c r="K98" s="111"/>
      <c r="L98" s="111"/>
      <c r="M98" s="111"/>
      <c r="N98" s="111"/>
      <c r="O98" s="111"/>
      <c r="P98" s="111"/>
      <c r="Q98" s="139"/>
      <c r="R98" s="191"/>
      <c r="S98" s="191"/>
      <c r="T98" s="191"/>
      <c r="U98" s="192"/>
      <c r="V98" s="193"/>
      <c r="W98" s="194"/>
      <c r="X98" s="117"/>
      <c r="Y98" s="111"/>
      <c r="Z98" s="111"/>
    </row>
    <row r="99" spans="1:26">
      <c r="A99" s="111"/>
      <c r="B99" s="111"/>
      <c r="C99" s="111"/>
      <c r="D99" s="111"/>
      <c r="E99" s="111"/>
      <c r="F99" s="111"/>
      <c r="G99" s="111"/>
      <c r="H99" s="111"/>
      <c r="I99" s="111"/>
      <c r="J99" s="111"/>
      <c r="K99" s="111"/>
      <c r="L99" s="111"/>
      <c r="M99" s="111"/>
      <c r="N99" s="111"/>
      <c r="O99" s="111"/>
      <c r="P99" s="111"/>
      <c r="Q99" s="139"/>
      <c r="R99" s="191"/>
      <c r="S99" s="191"/>
      <c r="T99" s="191"/>
      <c r="U99" s="192"/>
      <c r="V99" s="193"/>
      <c r="W99" s="194"/>
      <c r="X99" s="117"/>
      <c r="Y99" s="111"/>
      <c r="Z99" s="111"/>
    </row>
  </sheetData>
  <pageMargins left="0.7" right="0.7" top="0.75" bottom="0.75" header="0.3" footer="0.3"/>
  <drawing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K99"/>
  <sheetViews>
    <sheetView workbookViewId="0">
      <pane ySplit="1" topLeftCell="A2" activePane="bottomLeft" state="frozen"/>
      <selection pane="bottomLeft" activeCell="B3" sqref="B3"/>
    </sheetView>
  </sheetViews>
  <sheetFormatPr defaultColWidth="12.5703125" defaultRowHeight="15" customHeight="1"/>
  <cols>
    <col min="1" max="1" width="5.140625" customWidth="1"/>
    <col min="2" max="2" width="6.28515625" customWidth="1"/>
    <col min="3" max="3" width="5.42578125" customWidth="1"/>
    <col min="4" max="4" width="11.28515625" customWidth="1"/>
    <col min="5" max="5" width="3.140625" customWidth="1"/>
    <col min="6" max="6" width="24.42578125" customWidth="1"/>
    <col min="7" max="7" width="24.85546875" customWidth="1"/>
    <col min="8" max="8" width="12.42578125" customWidth="1"/>
    <col min="9" max="10" width="7.42578125" customWidth="1"/>
    <col min="11" max="11" width="6.42578125" customWidth="1"/>
    <col min="12" max="12" width="8.42578125" customWidth="1"/>
    <col min="13" max="14" width="6.42578125" customWidth="1"/>
    <col min="15" max="16" width="7.42578125" customWidth="1"/>
    <col min="17" max="17" width="18.28515625" customWidth="1"/>
    <col min="18" max="18" width="5.7109375" customWidth="1"/>
    <col min="19" max="19" width="5.5703125" customWidth="1"/>
    <col min="20" max="20" width="6.5703125" customWidth="1"/>
    <col min="21" max="21" width="6.85546875" customWidth="1"/>
    <col min="22" max="22" width="7.7109375" customWidth="1"/>
    <col min="23" max="23" width="6.5703125" customWidth="1"/>
    <col min="24" max="24" width="7.5703125" customWidth="1"/>
    <col min="25" max="26" width="42.85546875" customWidth="1"/>
    <col min="27" max="37" width="11" customWidth="1"/>
  </cols>
  <sheetData>
    <row r="1" spans="1:37" ht="45" customHeight="1">
      <c r="A1" s="31" t="s">
        <v>9</v>
      </c>
      <c r="B1" s="66" t="str">
        <f>HYPERLINK("#rangeid=2086300674","Content Owner")</f>
        <v>Content Owner</v>
      </c>
      <c r="C1" s="67" t="str">
        <f>HYPERLINK("#rangeid=632369931","Video Owner")</f>
        <v>Video Owner</v>
      </c>
      <c r="D1" s="36" t="s">
        <v>87</v>
      </c>
      <c r="E1" s="37" t="s">
        <v>221</v>
      </c>
      <c r="F1" s="38" t="s">
        <v>223</v>
      </c>
      <c r="G1" s="31" t="s">
        <v>230</v>
      </c>
      <c r="H1" s="68" t="str">
        <f>HYPERLINK("#rangeid=906849400","Description")</f>
        <v>Description</v>
      </c>
      <c r="I1" s="41" t="s">
        <v>233</v>
      </c>
      <c r="J1" s="31" t="s">
        <v>234</v>
      </c>
      <c r="K1" s="42" t="s">
        <v>235</v>
      </c>
      <c r="L1" s="31" t="s">
        <v>236</v>
      </c>
      <c r="M1" s="31" t="s">
        <v>237</v>
      </c>
      <c r="N1" s="31" t="s">
        <v>238</v>
      </c>
      <c r="O1" s="31" t="s">
        <v>239</v>
      </c>
      <c r="P1" s="31" t="s">
        <v>240</v>
      </c>
      <c r="Q1" s="31" t="s">
        <v>241</v>
      </c>
      <c r="R1" s="43" t="s">
        <v>242</v>
      </c>
      <c r="S1" s="43" t="s">
        <v>243</v>
      </c>
      <c r="T1" s="43" t="s">
        <v>89</v>
      </c>
      <c r="U1" s="44" t="s">
        <v>244</v>
      </c>
      <c r="V1" s="45" t="s">
        <v>245</v>
      </c>
      <c r="W1" s="46" t="str">
        <f>HYPERLINK("#rangeid=120001109","Replay")</f>
        <v>Replay</v>
      </c>
      <c r="X1" s="47" t="s">
        <v>246</v>
      </c>
      <c r="Y1" s="48" t="s">
        <v>247</v>
      </c>
      <c r="Z1" s="49" t="s">
        <v>248</v>
      </c>
      <c r="AA1" s="50"/>
      <c r="AB1" s="50"/>
      <c r="AC1" s="50"/>
      <c r="AD1" s="50"/>
      <c r="AE1" s="50"/>
      <c r="AF1" s="50"/>
      <c r="AG1" s="50"/>
      <c r="AH1" s="50"/>
      <c r="AI1" s="50"/>
      <c r="AJ1" s="50"/>
      <c r="AK1" s="50"/>
    </row>
    <row r="2" spans="1:37">
      <c r="A2" s="111"/>
      <c r="B2" s="111"/>
      <c r="C2" s="111"/>
      <c r="D2" s="111"/>
      <c r="E2" s="111"/>
      <c r="F2" s="111"/>
      <c r="G2" s="111"/>
      <c r="H2" s="111"/>
      <c r="I2" s="111"/>
      <c r="J2" s="111"/>
      <c r="K2" s="111"/>
      <c r="L2" s="111"/>
      <c r="M2" s="111"/>
      <c r="N2" s="111"/>
      <c r="O2" s="111"/>
      <c r="P2" s="111"/>
      <c r="Q2" s="139"/>
      <c r="R2" s="113"/>
      <c r="S2" s="113"/>
      <c r="T2" s="113"/>
      <c r="U2" s="114"/>
      <c r="V2" s="115"/>
      <c r="W2" s="116"/>
      <c r="X2" s="117"/>
      <c r="Y2" s="111"/>
      <c r="Z2" s="111"/>
    </row>
    <row r="3" spans="1:37">
      <c r="A3" s="111"/>
      <c r="B3" s="111"/>
      <c r="C3" s="111"/>
      <c r="D3" s="111"/>
      <c r="E3" s="111"/>
      <c r="F3" s="111"/>
      <c r="G3" s="111"/>
      <c r="H3" s="111"/>
      <c r="I3" s="111"/>
      <c r="J3" s="111"/>
      <c r="K3" s="111"/>
      <c r="L3" s="111"/>
      <c r="M3" s="111"/>
      <c r="N3" s="111"/>
      <c r="O3" s="111"/>
      <c r="P3" s="111"/>
      <c r="Q3" s="139"/>
      <c r="R3" s="113"/>
      <c r="S3" s="113"/>
      <c r="T3" s="113"/>
      <c r="U3" s="114"/>
      <c r="V3" s="115"/>
      <c r="W3" s="116"/>
      <c r="X3" s="117"/>
      <c r="Y3" s="111"/>
      <c r="Z3" s="111"/>
    </row>
    <row r="4" spans="1:37">
      <c r="A4" s="111"/>
      <c r="B4" s="111"/>
      <c r="C4" s="111"/>
      <c r="D4" s="111"/>
      <c r="E4" s="111"/>
      <c r="F4" s="111"/>
      <c r="G4" s="111"/>
      <c r="H4" s="111"/>
      <c r="I4" s="111"/>
      <c r="J4" s="111"/>
      <c r="K4" s="111"/>
      <c r="L4" s="111"/>
      <c r="M4" s="111"/>
      <c r="N4" s="111"/>
      <c r="O4" s="111"/>
      <c r="P4" s="111"/>
      <c r="Q4" s="139"/>
      <c r="R4" s="113"/>
      <c r="S4" s="113"/>
      <c r="T4" s="113"/>
      <c r="U4" s="114"/>
      <c r="V4" s="115"/>
      <c r="W4" s="116"/>
      <c r="X4" s="117"/>
      <c r="Y4" s="111"/>
      <c r="Z4" s="111"/>
    </row>
    <row r="5" spans="1:37">
      <c r="A5" s="111"/>
      <c r="B5" s="111"/>
      <c r="C5" s="111"/>
      <c r="D5" s="111"/>
      <c r="E5" s="111"/>
      <c r="F5" s="111"/>
      <c r="G5" s="111"/>
      <c r="H5" s="111"/>
      <c r="I5" s="111"/>
      <c r="J5" s="111"/>
      <c r="K5" s="111"/>
      <c r="L5" s="111"/>
      <c r="M5" s="111"/>
      <c r="N5" s="111"/>
      <c r="O5" s="111"/>
      <c r="P5" s="111"/>
      <c r="Q5" s="139"/>
      <c r="R5" s="113"/>
      <c r="S5" s="113"/>
      <c r="T5" s="113"/>
      <c r="U5" s="114"/>
      <c r="V5" s="115"/>
      <c r="W5" s="116"/>
      <c r="X5" s="117"/>
      <c r="Y5" s="111"/>
      <c r="Z5" s="111"/>
    </row>
    <row r="6" spans="1:37">
      <c r="A6" s="111"/>
      <c r="B6" s="111"/>
      <c r="C6" s="111"/>
      <c r="D6" s="111"/>
      <c r="E6" s="111"/>
      <c r="F6" s="111"/>
      <c r="G6" s="111"/>
      <c r="H6" s="111"/>
      <c r="I6" s="111"/>
      <c r="J6" s="111"/>
      <c r="K6" s="111"/>
      <c r="L6" s="111"/>
      <c r="M6" s="111"/>
      <c r="N6" s="111"/>
      <c r="O6" s="111"/>
      <c r="P6" s="111"/>
      <c r="Q6" s="139"/>
      <c r="R6" s="113"/>
      <c r="S6" s="113"/>
      <c r="T6" s="113"/>
      <c r="U6" s="114"/>
      <c r="V6" s="115"/>
      <c r="W6" s="116"/>
      <c r="X6" s="117"/>
      <c r="Y6" s="111"/>
      <c r="Z6" s="111"/>
    </row>
    <row r="7" spans="1:37">
      <c r="A7" s="111"/>
      <c r="B7" s="111"/>
      <c r="C7" s="111"/>
      <c r="D7" s="111"/>
      <c r="E7" s="111"/>
      <c r="F7" s="111"/>
      <c r="G7" s="111"/>
      <c r="H7" s="111"/>
      <c r="I7" s="111"/>
      <c r="J7" s="111"/>
      <c r="K7" s="111"/>
      <c r="L7" s="111"/>
      <c r="M7" s="111"/>
      <c r="N7" s="111"/>
      <c r="O7" s="111"/>
      <c r="P7" s="111"/>
      <c r="Q7" s="139"/>
      <c r="R7" s="191"/>
      <c r="S7" s="191"/>
      <c r="T7" s="191"/>
      <c r="U7" s="192"/>
      <c r="V7" s="193"/>
      <c r="W7" s="194"/>
      <c r="X7" s="117"/>
      <c r="Y7" s="111"/>
      <c r="Z7" s="111"/>
    </row>
    <row r="8" spans="1:37">
      <c r="A8" s="111"/>
      <c r="B8" s="111"/>
      <c r="C8" s="111"/>
      <c r="D8" s="111"/>
      <c r="E8" s="111"/>
      <c r="F8" s="111"/>
      <c r="G8" s="111"/>
      <c r="H8" s="111"/>
      <c r="I8" s="111"/>
      <c r="J8" s="111"/>
      <c r="K8" s="111"/>
      <c r="L8" s="111"/>
      <c r="M8" s="111"/>
      <c r="N8" s="111"/>
      <c r="O8" s="111"/>
      <c r="P8" s="111"/>
      <c r="Q8" s="139"/>
      <c r="R8" s="191"/>
      <c r="S8" s="191"/>
      <c r="T8" s="191"/>
      <c r="U8" s="192"/>
      <c r="V8" s="193"/>
      <c r="W8" s="194"/>
      <c r="X8" s="117"/>
      <c r="Y8" s="111"/>
      <c r="Z8" s="111"/>
    </row>
    <row r="9" spans="1:37">
      <c r="A9" s="111"/>
      <c r="B9" s="111"/>
      <c r="C9" s="111"/>
      <c r="D9" s="111"/>
      <c r="E9" s="111"/>
      <c r="F9" s="111"/>
      <c r="G9" s="111"/>
      <c r="H9" s="111"/>
      <c r="I9" s="111"/>
      <c r="J9" s="111"/>
      <c r="K9" s="111"/>
      <c r="L9" s="111"/>
      <c r="M9" s="111"/>
      <c r="N9" s="111"/>
      <c r="O9" s="111"/>
      <c r="P9" s="111"/>
      <c r="Q9" s="139"/>
      <c r="R9" s="191"/>
      <c r="S9" s="191"/>
      <c r="T9" s="191"/>
      <c r="U9" s="192"/>
      <c r="V9" s="193"/>
      <c r="W9" s="194"/>
      <c r="X9" s="117"/>
      <c r="Y9" s="111"/>
      <c r="Z9" s="111"/>
    </row>
    <row r="10" spans="1:37">
      <c r="A10" s="111"/>
      <c r="B10" s="111"/>
      <c r="C10" s="111"/>
      <c r="D10" s="111"/>
      <c r="E10" s="111"/>
      <c r="F10" s="111"/>
      <c r="G10" s="111"/>
      <c r="H10" s="111"/>
      <c r="I10" s="111"/>
      <c r="J10" s="111"/>
      <c r="K10" s="111"/>
      <c r="L10" s="111"/>
      <c r="M10" s="111"/>
      <c r="N10" s="111"/>
      <c r="O10" s="111"/>
      <c r="P10" s="111"/>
      <c r="Q10" s="139"/>
      <c r="R10" s="191"/>
      <c r="S10" s="191"/>
      <c r="T10" s="191"/>
      <c r="U10" s="192"/>
      <c r="V10" s="193"/>
      <c r="W10" s="194"/>
      <c r="X10" s="117"/>
      <c r="Y10" s="111"/>
      <c r="Z10" s="111"/>
    </row>
    <row r="11" spans="1:37">
      <c r="A11" s="111"/>
      <c r="B11" s="111"/>
      <c r="C11" s="111"/>
      <c r="D11" s="111"/>
      <c r="E11" s="111"/>
      <c r="F11" s="111"/>
      <c r="G11" s="111"/>
      <c r="H11" s="111"/>
      <c r="I11" s="111"/>
      <c r="J11" s="111"/>
      <c r="K11" s="111"/>
      <c r="L11" s="111"/>
      <c r="M11" s="111"/>
      <c r="N11" s="111"/>
      <c r="O11" s="111"/>
      <c r="P11" s="111"/>
      <c r="Q11" s="139"/>
      <c r="R11" s="191"/>
      <c r="S11" s="191"/>
      <c r="T11" s="191"/>
      <c r="U11" s="192"/>
      <c r="V11" s="193"/>
      <c r="W11" s="194"/>
      <c r="X11" s="117"/>
      <c r="Y11" s="111"/>
      <c r="Z11" s="111"/>
    </row>
    <row r="12" spans="1:37">
      <c r="A12" s="111"/>
      <c r="B12" s="111"/>
      <c r="C12" s="111"/>
      <c r="D12" s="111"/>
      <c r="E12" s="111"/>
      <c r="F12" s="111"/>
      <c r="G12" s="111"/>
      <c r="H12" s="111"/>
      <c r="I12" s="111"/>
      <c r="J12" s="111"/>
      <c r="K12" s="111"/>
      <c r="L12" s="111"/>
      <c r="M12" s="111"/>
      <c r="N12" s="111"/>
      <c r="O12" s="111"/>
      <c r="P12" s="111"/>
      <c r="Q12" s="139"/>
      <c r="R12" s="191"/>
      <c r="S12" s="191"/>
      <c r="T12" s="191"/>
      <c r="U12" s="192"/>
      <c r="V12" s="193"/>
      <c r="W12" s="194"/>
      <c r="X12" s="117"/>
      <c r="Y12" s="111"/>
      <c r="Z12" s="111"/>
    </row>
    <row r="13" spans="1:37">
      <c r="A13" s="111"/>
      <c r="B13" s="111"/>
      <c r="C13" s="111"/>
      <c r="D13" s="111"/>
      <c r="E13" s="111"/>
      <c r="F13" s="111"/>
      <c r="G13" s="111"/>
      <c r="H13" s="111"/>
      <c r="I13" s="111"/>
      <c r="J13" s="111"/>
      <c r="K13" s="111"/>
      <c r="L13" s="111"/>
      <c r="M13" s="111"/>
      <c r="N13" s="111"/>
      <c r="O13" s="111"/>
      <c r="P13" s="111"/>
      <c r="Q13" s="139"/>
      <c r="R13" s="191"/>
      <c r="S13" s="191"/>
      <c r="T13" s="191"/>
      <c r="U13" s="192"/>
      <c r="V13" s="193"/>
      <c r="W13" s="194"/>
      <c r="X13" s="117"/>
      <c r="Y13" s="111"/>
      <c r="Z13" s="111"/>
    </row>
    <row r="14" spans="1:37">
      <c r="A14" s="111"/>
      <c r="B14" s="111"/>
      <c r="C14" s="111"/>
      <c r="D14" s="111"/>
      <c r="E14" s="111"/>
      <c r="F14" s="111"/>
      <c r="G14" s="111"/>
      <c r="H14" s="111"/>
      <c r="I14" s="111"/>
      <c r="J14" s="111"/>
      <c r="K14" s="111"/>
      <c r="L14" s="111"/>
      <c r="M14" s="111"/>
      <c r="N14" s="111"/>
      <c r="O14" s="111"/>
      <c r="P14" s="111"/>
      <c r="Q14" s="139"/>
      <c r="R14" s="191"/>
      <c r="S14" s="191"/>
      <c r="T14" s="191"/>
      <c r="U14" s="192"/>
      <c r="V14" s="193"/>
      <c r="W14" s="194"/>
      <c r="X14" s="117"/>
      <c r="Y14" s="111"/>
      <c r="Z14" s="111"/>
    </row>
    <row r="15" spans="1:37">
      <c r="A15" s="111"/>
      <c r="B15" s="111"/>
      <c r="C15" s="111"/>
      <c r="D15" s="111"/>
      <c r="E15" s="111"/>
      <c r="F15" s="111"/>
      <c r="G15" s="111"/>
      <c r="H15" s="111"/>
      <c r="I15" s="111"/>
      <c r="J15" s="111"/>
      <c r="K15" s="111"/>
      <c r="L15" s="111"/>
      <c r="M15" s="111"/>
      <c r="N15" s="111"/>
      <c r="O15" s="111"/>
      <c r="P15" s="111"/>
      <c r="Q15" s="139"/>
      <c r="R15" s="191"/>
      <c r="S15" s="191"/>
      <c r="T15" s="191"/>
      <c r="U15" s="192"/>
      <c r="V15" s="193"/>
      <c r="W15" s="194"/>
      <c r="X15" s="117"/>
      <c r="Y15" s="111"/>
      <c r="Z15" s="111"/>
    </row>
    <row r="16" spans="1:37">
      <c r="A16" s="111"/>
      <c r="B16" s="111"/>
      <c r="C16" s="111"/>
      <c r="D16" s="111"/>
      <c r="E16" s="111"/>
      <c r="F16" s="111"/>
      <c r="G16" s="111"/>
      <c r="H16" s="111"/>
      <c r="I16" s="111"/>
      <c r="J16" s="111"/>
      <c r="K16" s="111"/>
      <c r="L16" s="111"/>
      <c r="M16" s="111"/>
      <c r="N16" s="111"/>
      <c r="O16" s="111"/>
      <c r="P16" s="111"/>
      <c r="Q16" s="139"/>
      <c r="R16" s="191"/>
      <c r="S16" s="191"/>
      <c r="T16" s="191"/>
      <c r="U16" s="192"/>
      <c r="V16" s="193"/>
      <c r="W16" s="194"/>
      <c r="X16" s="117"/>
      <c r="Y16" s="111"/>
      <c r="Z16" s="111"/>
    </row>
    <row r="17" spans="1:26">
      <c r="A17" s="111"/>
      <c r="B17" s="111"/>
      <c r="C17" s="111"/>
      <c r="D17" s="111"/>
      <c r="E17" s="111"/>
      <c r="F17" s="111"/>
      <c r="G17" s="111"/>
      <c r="H17" s="111"/>
      <c r="I17" s="111"/>
      <c r="J17" s="111"/>
      <c r="K17" s="111"/>
      <c r="L17" s="111"/>
      <c r="M17" s="111"/>
      <c r="N17" s="111"/>
      <c r="O17" s="111"/>
      <c r="P17" s="111"/>
      <c r="Q17" s="139"/>
      <c r="R17" s="191"/>
      <c r="S17" s="191"/>
      <c r="T17" s="191"/>
      <c r="U17" s="192"/>
      <c r="V17" s="193"/>
      <c r="W17" s="194"/>
      <c r="X17" s="117"/>
      <c r="Y17" s="111"/>
      <c r="Z17" s="111"/>
    </row>
    <row r="18" spans="1:26">
      <c r="A18" s="111"/>
      <c r="B18" s="111"/>
      <c r="C18" s="111"/>
      <c r="D18" s="111"/>
      <c r="E18" s="111"/>
      <c r="F18" s="111"/>
      <c r="G18" s="111"/>
      <c r="H18" s="111"/>
      <c r="I18" s="111"/>
      <c r="J18" s="111"/>
      <c r="K18" s="111"/>
      <c r="L18" s="111"/>
      <c r="M18" s="111"/>
      <c r="N18" s="111"/>
      <c r="O18" s="111"/>
      <c r="P18" s="111"/>
      <c r="Q18" s="139"/>
      <c r="R18" s="191"/>
      <c r="S18" s="191"/>
      <c r="T18" s="191"/>
      <c r="U18" s="192"/>
      <c r="V18" s="193"/>
      <c r="W18" s="194"/>
      <c r="X18" s="117"/>
      <c r="Y18" s="111"/>
      <c r="Z18" s="111"/>
    </row>
    <row r="19" spans="1:26">
      <c r="A19" s="111"/>
      <c r="B19" s="111"/>
      <c r="C19" s="111"/>
      <c r="D19" s="111"/>
      <c r="E19" s="111"/>
      <c r="F19" s="111"/>
      <c r="G19" s="111"/>
      <c r="H19" s="111"/>
      <c r="I19" s="111"/>
      <c r="J19" s="111"/>
      <c r="K19" s="111"/>
      <c r="L19" s="111"/>
      <c r="M19" s="111"/>
      <c r="N19" s="111"/>
      <c r="O19" s="111"/>
      <c r="P19" s="111"/>
      <c r="Q19" s="139"/>
      <c r="R19" s="191"/>
      <c r="S19" s="191"/>
      <c r="T19" s="191"/>
      <c r="U19" s="192"/>
      <c r="V19" s="193"/>
      <c r="W19" s="194"/>
      <c r="X19" s="117"/>
      <c r="Y19" s="111"/>
      <c r="Z19" s="111"/>
    </row>
    <row r="20" spans="1:26">
      <c r="A20" s="111"/>
      <c r="B20" s="111"/>
      <c r="C20" s="111"/>
      <c r="D20" s="111"/>
      <c r="E20" s="111"/>
      <c r="F20" s="111"/>
      <c r="G20" s="111"/>
      <c r="H20" s="111"/>
      <c r="I20" s="111"/>
      <c r="J20" s="111"/>
      <c r="K20" s="111"/>
      <c r="L20" s="111"/>
      <c r="M20" s="111"/>
      <c r="N20" s="111"/>
      <c r="O20" s="111"/>
      <c r="P20" s="111"/>
      <c r="Q20" s="139"/>
      <c r="R20" s="191"/>
      <c r="S20" s="191"/>
      <c r="T20" s="191"/>
      <c r="U20" s="192"/>
      <c r="V20" s="193"/>
      <c r="W20" s="194"/>
      <c r="X20" s="117"/>
      <c r="Y20" s="111"/>
      <c r="Z20" s="111"/>
    </row>
    <row r="21" spans="1:26">
      <c r="A21" s="111"/>
      <c r="B21" s="111"/>
      <c r="C21" s="111"/>
      <c r="D21" s="111"/>
      <c r="E21" s="111"/>
      <c r="F21" s="111"/>
      <c r="G21" s="111"/>
      <c r="H21" s="111"/>
      <c r="I21" s="111"/>
      <c r="J21" s="111"/>
      <c r="K21" s="111"/>
      <c r="L21" s="111"/>
      <c r="M21" s="111"/>
      <c r="N21" s="111"/>
      <c r="O21" s="111"/>
      <c r="P21" s="111"/>
      <c r="Q21" s="139"/>
      <c r="R21" s="191"/>
      <c r="S21" s="191"/>
      <c r="T21" s="191"/>
      <c r="U21" s="192"/>
      <c r="V21" s="193"/>
      <c r="W21" s="194"/>
      <c r="X21" s="117"/>
      <c r="Y21" s="111"/>
      <c r="Z21" s="111"/>
    </row>
    <row r="22" spans="1:26">
      <c r="A22" s="111"/>
      <c r="B22" s="111"/>
      <c r="C22" s="111"/>
      <c r="D22" s="111"/>
      <c r="E22" s="111"/>
      <c r="F22" s="111"/>
      <c r="G22" s="111"/>
      <c r="H22" s="111"/>
      <c r="I22" s="111"/>
      <c r="J22" s="111"/>
      <c r="K22" s="111"/>
      <c r="L22" s="111"/>
      <c r="M22" s="111"/>
      <c r="N22" s="111"/>
      <c r="O22" s="111"/>
      <c r="P22" s="111"/>
      <c r="Q22" s="139"/>
      <c r="R22" s="191"/>
      <c r="S22" s="191"/>
      <c r="T22" s="191"/>
      <c r="U22" s="192"/>
      <c r="V22" s="193"/>
      <c r="W22" s="194"/>
      <c r="X22" s="117"/>
      <c r="Y22" s="111"/>
      <c r="Z22" s="111"/>
    </row>
    <row r="23" spans="1:26">
      <c r="A23" s="111"/>
      <c r="B23" s="111"/>
      <c r="C23" s="111"/>
      <c r="D23" s="111"/>
      <c r="E23" s="111"/>
      <c r="F23" s="111"/>
      <c r="G23" s="111"/>
      <c r="H23" s="111"/>
      <c r="I23" s="111"/>
      <c r="J23" s="111"/>
      <c r="K23" s="111"/>
      <c r="L23" s="111"/>
      <c r="M23" s="111"/>
      <c r="N23" s="111"/>
      <c r="O23" s="111"/>
      <c r="P23" s="111"/>
      <c r="Q23" s="139"/>
      <c r="R23" s="191"/>
      <c r="S23" s="191"/>
      <c r="T23" s="191"/>
      <c r="U23" s="192"/>
      <c r="V23" s="193"/>
      <c r="W23" s="194"/>
      <c r="X23" s="117"/>
      <c r="Y23" s="111"/>
      <c r="Z23" s="111"/>
    </row>
    <row r="24" spans="1:26">
      <c r="A24" s="111"/>
      <c r="B24" s="111"/>
      <c r="C24" s="111"/>
      <c r="D24" s="111"/>
      <c r="E24" s="111"/>
      <c r="F24" s="111"/>
      <c r="G24" s="111"/>
      <c r="H24" s="111"/>
      <c r="I24" s="111"/>
      <c r="J24" s="111"/>
      <c r="K24" s="111"/>
      <c r="L24" s="111"/>
      <c r="M24" s="111"/>
      <c r="N24" s="111"/>
      <c r="O24" s="111"/>
      <c r="P24" s="111"/>
      <c r="Q24" s="139"/>
      <c r="R24" s="191"/>
      <c r="S24" s="191"/>
      <c r="T24" s="191"/>
      <c r="U24" s="192"/>
      <c r="V24" s="193"/>
      <c r="W24" s="194"/>
      <c r="X24" s="117"/>
      <c r="Y24" s="111"/>
      <c r="Z24" s="111"/>
    </row>
    <row r="25" spans="1:26">
      <c r="A25" s="111"/>
      <c r="B25" s="111"/>
      <c r="C25" s="111"/>
      <c r="D25" s="111"/>
      <c r="E25" s="111"/>
      <c r="F25" s="111"/>
      <c r="G25" s="111"/>
      <c r="H25" s="111"/>
      <c r="I25" s="111"/>
      <c r="J25" s="111"/>
      <c r="K25" s="111"/>
      <c r="L25" s="111"/>
      <c r="M25" s="111"/>
      <c r="N25" s="111"/>
      <c r="O25" s="111"/>
      <c r="P25" s="111"/>
      <c r="Q25" s="139"/>
      <c r="R25" s="191"/>
      <c r="S25" s="191"/>
      <c r="T25" s="191"/>
      <c r="U25" s="192"/>
      <c r="V25" s="193"/>
      <c r="W25" s="194"/>
      <c r="X25" s="117"/>
      <c r="Y25" s="111"/>
      <c r="Z25" s="111"/>
    </row>
    <row r="26" spans="1:26">
      <c r="A26" s="111"/>
      <c r="B26" s="111"/>
      <c r="C26" s="111"/>
      <c r="D26" s="111"/>
      <c r="E26" s="111"/>
      <c r="F26" s="111"/>
      <c r="G26" s="111"/>
      <c r="H26" s="111"/>
      <c r="I26" s="111"/>
      <c r="J26" s="111"/>
      <c r="K26" s="111"/>
      <c r="L26" s="111"/>
      <c r="M26" s="111"/>
      <c r="N26" s="111"/>
      <c r="O26" s="111"/>
      <c r="P26" s="111"/>
      <c r="Q26" s="139"/>
      <c r="R26" s="191"/>
      <c r="S26" s="191"/>
      <c r="T26" s="191"/>
      <c r="U26" s="192"/>
      <c r="V26" s="193"/>
      <c r="W26" s="194"/>
      <c r="X26" s="117"/>
      <c r="Y26" s="111"/>
      <c r="Z26" s="111"/>
    </row>
    <row r="27" spans="1:26">
      <c r="A27" s="111"/>
      <c r="B27" s="111"/>
      <c r="C27" s="111"/>
      <c r="D27" s="111"/>
      <c r="E27" s="111"/>
      <c r="F27" s="111"/>
      <c r="G27" s="111"/>
      <c r="H27" s="111"/>
      <c r="I27" s="111"/>
      <c r="J27" s="111"/>
      <c r="K27" s="111"/>
      <c r="L27" s="111"/>
      <c r="M27" s="111"/>
      <c r="N27" s="111"/>
      <c r="O27" s="111"/>
      <c r="P27" s="111"/>
      <c r="Q27" s="139"/>
      <c r="R27" s="191"/>
      <c r="S27" s="191"/>
      <c r="T27" s="191"/>
      <c r="U27" s="192"/>
      <c r="V27" s="193"/>
      <c r="W27" s="194"/>
      <c r="X27" s="117"/>
      <c r="Y27" s="111"/>
      <c r="Z27" s="111"/>
    </row>
    <row r="28" spans="1:26">
      <c r="A28" s="111"/>
      <c r="B28" s="111"/>
      <c r="C28" s="111"/>
      <c r="D28" s="111"/>
      <c r="E28" s="111"/>
      <c r="F28" s="111"/>
      <c r="G28" s="111"/>
      <c r="H28" s="111"/>
      <c r="I28" s="111"/>
      <c r="J28" s="111"/>
      <c r="K28" s="111"/>
      <c r="L28" s="111"/>
      <c r="M28" s="111"/>
      <c r="N28" s="111"/>
      <c r="O28" s="111"/>
      <c r="P28" s="111"/>
      <c r="Q28" s="139"/>
      <c r="R28" s="191"/>
      <c r="S28" s="191"/>
      <c r="T28" s="191"/>
      <c r="U28" s="192"/>
      <c r="V28" s="193"/>
      <c r="W28" s="194"/>
      <c r="X28" s="117"/>
      <c r="Y28" s="111"/>
      <c r="Z28" s="111"/>
    </row>
    <row r="29" spans="1:26">
      <c r="A29" s="111"/>
      <c r="B29" s="111"/>
      <c r="C29" s="111"/>
      <c r="D29" s="111"/>
      <c r="E29" s="111"/>
      <c r="F29" s="111"/>
      <c r="G29" s="111"/>
      <c r="H29" s="111"/>
      <c r="I29" s="111"/>
      <c r="J29" s="111"/>
      <c r="K29" s="111"/>
      <c r="L29" s="111"/>
      <c r="M29" s="111"/>
      <c r="N29" s="111"/>
      <c r="O29" s="111"/>
      <c r="P29" s="111"/>
      <c r="Q29" s="139"/>
      <c r="R29" s="191"/>
      <c r="S29" s="191"/>
      <c r="T29" s="191"/>
      <c r="U29" s="192"/>
      <c r="V29" s="193"/>
      <c r="W29" s="194"/>
      <c r="X29" s="117"/>
      <c r="Y29" s="111"/>
      <c r="Z29" s="111"/>
    </row>
    <row r="30" spans="1:26">
      <c r="A30" s="111"/>
      <c r="B30" s="111"/>
      <c r="C30" s="111"/>
      <c r="D30" s="111"/>
      <c r="E30" s="111"/>
      <c r="F30" s="111"/>
      <c r="G30" s="111"/>
      <c r="H30" s="111"/>
      <c r="I30" s="111"/>
      <c r="J30" s="111"/>
      <c r="K30" s="111"/>
      <c r="L30" s="111"/>
      <c r="M30" s="111"/>
      <c r="N30" s="111"/>
      <c r="O30" s="111"/>
      <c r="P30" s="111"/>
      <c r="Q30" s="139"/>
      <c r="R30" s="191"/>
      <c r="S30" s="191"/>
      <c r="T30" s="191"/>
      <c r="U30" s="192"/>
      <c r="V30" s="193"/>
      <c r="W30" s="194"/>
      <c r="X30" s="117"/>
      <c r="Y30" s="111"/>
      <c r="Z30" s="111"/>
    </row>
    <row r="31" spans="1:26">
      <c r="A31" s="111"/>
      <c r="B31" s="111"/>
      <c r="C31" s="111"/>
      <c r="D31" s="111"/>
      <c r="E31" s="111"/>
      <c r="F31" s="111"/>
      <c r="G31" s="111"/>
      <c r="H31" s="111"/>
      <c r="I31" s="111"/>
      <c r="J31" s="111"/>
      <c r="K31" s="111"/>
      <c r="L31" s="111"/>
      <c r="M31" s="111"/>
      <c r="N31" s="111"/>
      <c r="O31" s="111"/>
      <c r="P31" s="111"/>
      <c r="Q31" s="139"/>
      <c r="R31" s="191"/>
      <c r="S31" s="191"/>
      <c r="T31" s="191"/>
      <c r="U31" s="192"/>
      <c r="V31" s="193"/>
      <c r="W31" s="194"/>
      <c r="X31" s="117"/>
      <c r="Y31" s="111"/>
      <c r="Z31" s="111"/>
    </row>
    <row r="32" spans="1:26">
      <c r="A32" s="111"/>
      <c r="B32" s="111"/>
      <c r="C32" s="111"/>
      <c r="D32" s="111"/>
      <c r="E32" s="111"/>
      <c r="F32" s="111"/>
      <c r="G32" s="111"/>
      <c r="H32" s="111"/>
      <c r="I32" s="111"/>
      <c r="J32" s="111"/>
      <c r="K32" s="111"/>
      <c r="L32" s="111"/>
      <c r="M32" s="111"/>
      <c r="N32" s="111"/>
      <c r="O32" s="111"/>
      <c r="P32" s="111"/>
      <c r="Q32" s="139"/>
      <c r="R32" s="191"/>
      <c r="S32" s="191"/>
      <c r="T32" s="191"/>
      <c r="U32" s="192"/>
      <c r="V32" s="193"/>
      <c r="W32" s="194"/>
      <c r="X32" s="117"/>
      <c r="Y32" s="111"/>
      <c r="Z32" s="111"/>
    </row>
    <row r="33" spans="1:26">
      <c r="A33" s="111"/>
      <c r="B33" s="111"/>
      <c r="C33" s="111"/>
      <c r="D33" s="111"/>
      <c r="E33" s="111"/>
      <c r="F33" s="111"/>
      <c r="G33" s="111"/>
      <c r="H33" s="111"/>
      <c r="I33" s="111"/>
      <c r="J33" s="111"/>
      <c r="K33" s="111"/>
      <c r="L33" s="111"/>
      <c r="M33" s="111"/>
      <c r="N33" s="111"/>
      <c r="O33" s="111"/>
      <c r="P33" s="111"/>
      <c r="Q33" s="139"/>
      <c r="R33" s="191"/>
      <c r="S33" s="191"/>
      <c r="T33" s="191"/>
      <c r="U33" s="192"/>
      <c r="V33" s="193"/>
      <c r="W33" s="194"/>
      <c r="X33" s="117"/>
      <c r="Y33" s="111"/>
      <c r="Z33" s="111"/>
    </row>
    <row r="34" spans="1:26">
      <c r="A34" s="111"/>
      <c r="B34" s="111"/>
      <c r="C34" s="111"/>
      <c r="D34" s="111"/>
      <c r="E34" s="111"/>
      <c r="F34" s="111"/>
      <c r="G34" s="111"/>
      <c r="H34" s="111"/>
      <c r="I34" s="111"/>
      <c r="J34" s="111"/>
      <c r="K34" s="111"/>
      <c r="L34" s="111"/>
      <c r="M34" s="111"/>
      <c r="N34" s="111"/>
      <c r="O34" s="111"/>
      <c r="P34" s="111"/>
      <c r="Q34" s="139"/>
      <c r="R34" s="191"/>
      <c r="S34" s="191"/>
      <c r="T34" s="191"/>
      <c r="U34" s="192"/>
      <c r="V34" s="193"/>
      <c r="W34" s="194"/>
      <c r="X34" s="117"/>
      <c r="Y34" s="111"/>
      <c r="Z34" s="111"/>
    </row>
    <row r="35" spans="1:26">
      <c r="A35" s="111"/>
      <c r="B35" s="111"/>
      <c r="C35" s="111"/>
      <c r="D35" s="111"/>
      <c r="E35" s="111"/>
      <c r="F35" s="111"/>
      <c r="G35" s="111"/>
      <c r="H35" s="111"/>
      <c r="I35" s="111"/>
      <c r="J35" s="111"/>
      <c r="K35" s="111"/>
      <c r="L35" s="111"/>
      <c r="M35" s="111"/>
      <c r="N35" s="111"/>
      <c r="O35" s="111"/>
      <c r="P35" s="111"/>
      <c r="Q35" s="139"/>
      <c r="R35" s="191"/>
      <c r="S35" s="191"/>
      <c r="T35" s="191"/>
      <c r="U35" s="192"/>
      <c r="V35" s="193"/>
      <c r="W35" s="194"/>
      <c r="X35" s="117"/>
      <c r="Y35" s="111"/>
      <c r="Z35" s="111"/>
    </row>
    <row r="36" spans="1:26">
      <c r="A36" s="111"/>
      <c r="B36" s="111"/>
      <c r="C36" s="111"/>
      <c r="D36" s="111"/>
      <c r="E36" s="111"/>
      <c r="F36" s="111"/>
      <c r="G36" s="111"/>
      <c r="H36" s="111"/>
      <c r="I36" s="111"/>
      <c r="J36" s="111"/>
      <c r="K36" s="111"/>
      <c r="L36" s="111"/>
      <c r="M36" s="111"/>
      <c r="N36" s="111"/>
      <c r="O36" s="111"/>
      <c r="P36" s="111"/>
      <c r="Q36" s="139"/>
      <c r="R36" s="191"/>
      <c r="S36" s="191"/>
      <c r="T36" s="191"/>
      <c r="U36" s="192"/>
      <c r="V36" s="193"/>
      <c r="W36" s="194"/>
      <c r="X36" s="117"/>
      <c r="Y36" s="111"/>
      <c r="Z36" s="111"/>
    </row>
    <row r="37" spans="1:26">
      <c r="A37" s="111"/>
      <c r="B37" s="111"/>
      <c r="C37" s="111"/>
      <c r="D37" s="111"/>
      <c r="E37" s="111"/>
      <c r="F37" s="111"/>
      <c r="G37" s="111"/>
      <c r="H37" s="111"/>
      <c r="I37" s="111"/>
      <c r="J37" s="111"/>
      <c r="K37" s="111"/>
      <c r="L37" s="111"/>
      <c r="M37" s="111"/>
      <c r="N37" s="111"/>
      <c r="O37" s="111"/>
      <c r="P37" s="111"/>
      <c r="Q37" s="139"/>
      <c r="R37" s="191"/>
      <c r="S37" s="191"/>
      <c r="T37" s="191"/>
      <c r="U37" s="192"/>
      <c r="V37" s="193"/>
      <c r="W37" s="194"/>
      <c r="X37" s="117"/>
      <c r="Y37" s="111"/>
      <c r="Z37" s="111"/>
    </row>
    <row r="38" spans="1:26">
      <c r="A38" s="111"/>
      <c r="B38" s="111"/>
      <c r="C38" s="111"/>
      <c r="D38" s="111"/>
      <c r="E38" s="111"/>
      <c r="F38" s="111"/>
      <c r="G38" s="111"/>
      <c r="H38" s="111"/>
      <c r="I38" s="111"/>
      <c r="J38" s="111"/>
      <c r="K38" s="111"/>
      <c r="L38" s="111"/>
      <c r="M38" s="111"/>
      <c r="N38" s="111"/>
      <c r="O38" s="111"/>
      <c r="P38" s="111"/>
      <c r="Q38" s="139"/>
      <c r="R38" s="191"/>
      <c r="S38" s="191"/>
      <c r="T38" s="191"/>
      <c r="U38" s="192"/>
      <c r="V38" s="193"/>
      <c r="W38" s="194"/>
      <c r="X38" s="117"/>
      <c r="Y38" s="111"/>
      <c r="Z38" s="111"/>
    </row>
    <row r="39" spans="1:26">
      <c r="A39" s="111"/>
      <c r="B39" s="111"/>
      <c r="C39" s="111"/>
      <c r="D39" s="111"/>
      <c r="E39" s="111"/>
      <c r="F39" s="111"/>
      <c r="G39" s="111"/>
      <c r="H39" s="111"/>
      <c r="I39" s="111"/>
      <c r="J39" s="111"/>
      <c r="K39" s="111"/>
      <c r="L39" s="111"/>
      <c r="M39" s="111"/>
      <c r="N39" s="111"/>
      <c r="O39" s="111"/>
      <c r="P39" s="111"/>
      <c r="Q39" s="139"/>
      <c r="R39" s="191"/>
      <c r="S39" s="191"/>
      <c r="T39" s="191"/>
      <c r="U39" s="192"/>
      <c r="V39" s="193"/>
      <c r="W39" s="194"/>
      <c r="X39" s="117"/>
      <c r="Y39" s="111"/>
      <c r="Z39" s="111"/>
    </row>
    <row r="40" spans="1:26">
      <c r="A40" s="111"/>
      <c r="B40" s="111"/>
      <c r="C40" s="111"/>
      <c r="D40" s="111"/>
      <c r="E40" s="111"/>
      <c r="F40" s="111"/>
      <c r="G40" s="111"/>
      <c r="H40" s="111"/>
      <c r="I40" s="111"/>
      <c r="J40" s="111"/>
      <c r="K40" s="111"/>
      <c r="L40" s="111"/>
      <c r="M40" s="111"/>
      <c r="N40" s="111"/>
      <c r="O40" s="111"/>
      <c r="P40" s="111"/>
      <c r="Q40" s="139"/>
      <c r="R40" s="191"/>
      <c r="S40" s="191"/>
      <c r="T40" s="191"/>
      <c r="U40" s="192"/>
      <c r="V40" s="193"/>
      <c r="W40" s="194"/>
      <c r="X40" s="117"/>
      <c r="Y40" s="111"/>
      <c r="Z40" s="111"/>
    </row>
    <row r="41" spans="1:26">
      <c r="A41" s="111"/>
      <c r="B41" s="111"/>
      <c r="C41" s="111"/>
      <c r="D41" s="111"/>
      <c r="E41" s="111"/>
      <c r="F41" s="111"/>
      <c r="G41" s="111"/>
      <c r="H41" s="111"/>
      <c r="I41" s="111"/>
      <c r="J41" s="111"/>
      <c r="K41" s="111"/>
      <c r="L41" s="111"/>
      <c r="M41" s="111"/>
      <c r="N41" s="111"/>
      <c r="O41" s="111"/>
      <c r="P41" s="111"/>
      <c r="Q41" s="139"/>
      <c r="R41" s="191"/>
      <c r="S41" s="191"/>
      <c r="T41" s="191"/>
      <c r="U41" s="192"/>
      <c r="V41" s="193"/>
      <c r="W41" s="194"/>
      <c r="X41" s="117"/>
      <c r="Y41" s="111"/>
      <c r="Z41" s="111"/>
    </row>
    <row r="42" spans="1:26">
      <c r="A42" s="111"/>
      <c r="B42" s="111"/>
      <c r="C42" s="111"/>
      <c r="D42" s="111"/>
      <c r="E42" s="111"/>
      <c r="F42" s="111"/>
      <c r="G42" s="111"/>
      <c r="H42" s="111"/>
      <c r="I42" s="111"/>
      <c r="J42" s="111"/>
      <c r="K42" s="111"/>
      <c r="L42" s="111"/>
      <c r="M42" s="111"/>
      <c r="N42" s="111"/>
      <c r="O42" s="111"/>
      <c r="P42" s="111"/>
      <c r="Q42" s="139"/>
      <c r="R42" s="191"/>
      <c r="S42" s="191"/>
      <c r="T42" s="191"/>
      <c r="U42" s="192"/>
      <c r="V42" s="193"/>
      <c r="W42" s="194"/>
      <c r="X42" s="117"/>
      <c r="Y42" s="111"/>
      <c r="Z42" s="111"/>
    </row>
    <row r="43" spans="1:26">
      <c r="A43" s="111"/>
      <c r="B43" s="111"/>
      <c r="C43" s="111"/>
      <c r="D43" s="111"/>
      <c r="E43" s="111"/>
      <c r="F43" s="111"/>
      <c r="G43" s="111"/>
      <c r="H43" s="111"/>
      <c r="I43" s="111"/>
      <c r="J43" s="111"/>
      <c r="K43" s="111"/>
      <c r="L43" s="111"/>
      <c r="M43" s="111"/>
      <c r="N43" s="111"/>
      <c r="O43" s="111"/>
      <c r="P43" s="111"/>
      <c r="Q43" s="139"/>
      <c r="R43" s="191"/>
      <c r="S43" s="191"/>
      <c r="T43" s="191"/>
      <c r="U43" s="192"/>
      <c r="V43" s="193"/>
      <c r="W43" s="194"/>
      <c r="X43" s="117"/>
      <c r="Y43" s="111"/>
      <c r="Z43" s="111"/>
    </row>
    <row r="44" spans="1:26">
      <c r="A44" s="111"/>
      <c r="B44" s="111"/>
      <c r="C44" s="111"/>
      <c r="D44" s="111"/>
      <c r="E44" s="111"/>
      <c r="F44" s="111"/>
      <c r="G44" s="111"/>
      <c r="H44" s="111"/>
      <c r="I44" s="111"/>
      <c r="J44" s="111"/>
      <c r="K44" s="111"/>
      <c r="L44" s="111"/>
      <c r="M44" s="111"/>
      <c r="N44" s="111"/>
      <c r="O44" s="111"/>
      <c r="P44" s="111"/>
      <c r="Q44" s="139"/>
      <c r="R44" s="191"/>
      <c r="S44" s="191"/>
      <c r="T44" s="191"/>
      <c r="U44" s="192"/>
      <c r="V44" s="193"/>
      <c r="W44" s="194"/>
      <c r="X44" s="117"/>
      <c r="Y44" s="111"/>
      <c r="Z44" s="111"/>
    </row>
    <row r="45" spans="1:26">
      <c r="A45" s="111"/>
      <c r="B45" s="111"/>
      <c r="C45" s="111"/>
      <c r="D45" s="111"/>
      <c r="E45" s="111"/>
      <c r="F45" s="111"/>
      <c r="G45" s="111"/>
      <c r="H45" s="111"/>
      <c r="I45" s="111"/>
      <c r="J45" s="111"/>
      <c r="K45" s="111"/>
      <c r="L45" s="111"/>
      <c r="M45" s="111"/>
      <c r="N45" s="111"/>
      <c r="O45" s="111"/>
      <c r="P45" s="111"/>
      <c r="Q45" s="139"/>
      <c r="R45" s="191"/>
      <c r="S45" s="191"/>
      <c r="T45" s="191"/>
      <c r="U45" s="192"/>
      <c r="V45" s="193"/>
      <c r="W45" s="194"/>
      <c r="X45" s="117"/>
      <c r="Y45" s="111"/>
      <c r="Z45" s="111"/>
    </row>
    <row r="46" spans="1:26">
      <c r="A46" s="111"/>
      <c r="B46" s="111"/>
      <c r="C46" s="111"/>
      <c r="D46" s="111"/>
      <c r="E46" s="111"/>
      <c r="F46" s="111"/>
      <c r="G46" s="111"/>
      <c r="H46" s="111"/>
      <c r="I46" s="111"/>
      <c r="J46" s="111"/>
      <c r="K46" s="111"/>
      <c r="L46" s="111"/>
      <c r="M46" s="111"/>
      <c r="N46" s="111"/>
      <c r="O46" s="111"/>
      <c r="P46" s="111"/>
      <c r="Q46" s="139"/>
      <c r="R46" s="191"/>
      <c r="S46" s="191"/>
      <c r="T46" s="191"/>
      <c r="U46" s="192"/>
      <c r="V46" s="193"/>
      <c r="W46" s="194"/>
      <c r="X46" s="117"/>
      <c r="Y46" s="111"/>
      <c r="Z46" s="111"/>
    </row>
    <row r="47" spans="1:26">
      <c r="A47" s="111"/>
      <c r="B47" s="111"/>
      <c r="C47" s="111"/>
      <c r="D47" s="111"/>
      <c r="E47" s="111"/>
      <c r="F47" s="111"/>
      <c r="G47" s="111"/>
      <c r="H47" s="111"/>
      <c r="I47" s="111"/>
      <c r="J47" s="111"/>
      <c r="K47" s="111"/>
      <c r="L47" s="111"/>
      <c r="M47" s="111"/>
      <c r="N47" s="111"/>
      <c r="O47" s="111"/>
      <c r="P47" s="111"/>
      <c r="Q47" s="139"/>
      <c r="R47" s="191"/>
      <c r="S47" s="191"/>
      <c r="T47" s="191"/>
      <c r="U47" s="192"/>
      <c r="V47" s="193"/>
      <c r="W47" s="194"/>
      <c r="X47" s="117"/>
      <c r="Y47" s="111"/>
      <c r="Z47" s="111"/>
    </row>
    <row r="48" spans="1:26">
      <c r="A48" s="111"/>
      <c r="B48" s="111"/>
      <c r="C48" s="111"/>
      <c r="D48" s="111"/>
      <c r="E48" s="111"/>
      <c r="F48" s="111"/>
      <c r="G48" s="111"/>
      <c r="H48" s="111"/>
      <c r="I48" s="111"/>
      <c r="J48" s="111"/>
      <c r="K48" s="111"/>
      <c r="L48" s="111"/>
      <c r="M48" s="111"/>
      <c r="N48" s="111"/>
      <c r="O48" s="111"/>
      <c r="P48" s="111"/>
      <c r="Q48" s="139"/>
      <c r="R48" s="191"/>
      <c r="S48" s="191"/>
      <c r="T48" s="191"/>
      <c r="U48" s="192"/>
      <c r="V48" s="193"/>
      <c r="W48" s="194"/>
      <c r="X48" s="117"/>
      <c r="Y48" s="111"/>
      <c r="Z48" s="111"/>
    </row>
    <row r="49" spans="1:26">
      <c r="A49" s="111"/>
      <c r="B49" s="111"/>
      <c r="C49" s="111"/>
      <c r="D49" s="111"/>
      <c r="E49" s="111"/>
      <c r="F49" s="111"/>
      <c r="G49" s="111"/>
      <c r="H49" s="111"/>
      <c r="I49" s="111"/>
      <c r="J49" s="111"/>
      <c r="K49" s="111"/>
      <c r="L49" s="111"/>
      <c r="M49" s="111"/>
      <c r="N49" s="111"/>
      <c r="O49" s="111"/>
      <c r="P49" s="111"/>
      <c r="Q49" s="139"/>
      <c r="R49" s="191"/>
      <c r="S49" s="191"/>
      <c r="T49" s="191"/>
      <c r="U49" s="192"/>
      <c r="V49" s="193"/>
      <c r="W49" s="194"/>
      <c r="X49" s="117"/>
      <c r="Y49" s="111"/>
      <c r="Z49" s="111"/>
    </row>
    <row r="50" spans="1:26">
      <c r="A50" s="111"/>
      <c r="B50" s="111"/>
      <c r="C50" s="111"/>
      <c r="D50" s="111"/>
      <c r="E50" s="111"/>
      <c r="F50" s="111"/>
      <c r="G50" s="111"/>
      <c r="H50" s="111"/>
      <c r="I50" s="111"/>
      <c r="J50" s="111"/>
      <c r="K50" s="111"/>
      <c r="L50" s="111"/>
      <c r="M50" s="111"/>
      <c r="N50" s="111"/>
      <c r="O50" s="111"/>
      <c r="P50" s="111"/>
      <c r="Q50" s="139"/>
      <c r="R50" s="191"/>
      <c r="S50" s="191"/>
      <c r="T50" s="191"/>
      <c r="U50" s="192"/>
      <c r="V50" s="193"/>
      <c r="W50" s="194"/>
      <c r="X50" s="117"/>
      <c r="Y50" s="111"/>
      <c r="Z50" s="111"/>
    </row>
    <row r="51" spans="1:26">
      <c r="A51" s="111"/>
      <c r="B51" s="111"/>
      <c r="C51" s="111"/>
      <c r="D51" s="111"/>
      <c r="E51" s="111"/>
      <c r="F51" s="111"/>
      <c r="G51" s="111"/>
      <c r="H51" s="111"/>
      <c r="I51" s="111"/>
      <c r="J51" s="111"/>
      <c r="K51" s="111"/>
      <c r="L51" s="111"/>
      <c r="M51" s="111"/>
      <c r="N51" s="111"/>
      <c r="O51" s="111"/>
      <c r="P51" s="111"/>
      <c r="Q51" s="139"/>
      <c r="R51" s="191"/>
      <c r="S51" s="191"/>
      <c r="T51" s="191"/>
      <c r="U51" s="192"/>
      <c r="V51" s="193"/>
      <c r="W51" s="194"/>
      <c r="X51" s="117"/>
      <c r="Y51" s="111"/>
      <c r="Z51" s="111"/>
    </row>
    <row r="52" spans="1:26">
      <c r="A52" s="111"/>
      <c r="B52" s="111"/>
      <c r="C52" s="111"/>
      <c r="D52" s="111"/>
      <c r="E52" s="111"/>
      <c r="F52" s="111"/>
      <c r="G52" s="111"/>
      <c r="H52" s="111"/>
      <c r="I52" s="111"/>
      <c r="J52" s="111"/>
      <c r="K52" s="111"/>
      <c r="L52" s="111"/>
      <c r="M52" s="111"/>
      <c r="N52" s="111"/>
      <c r="O52" s="111"/>
      <c r="P52" s="111"/>
      <c r="Q52" s="139"/>
      <c r="R52" s="191"/>
      <c r="S52" s="191"/>
      <c r="T52" s="191"/>
      <c r="U52" s="192"/>
      <c r="V52" s="193"/>
      <c r="W52" s="194"/>
      <c r="X52" s="117"/>
      <c r="Y52" s="111"/>
      <c r="Z52" s="111"/>
    </row>
    <row r="53" spans="1:26">
      <c r="A53" s="111"/>
      <c r="B53" s="111"/>
      <c r="C53" s="111"/>
      <c r="D53" s="111"/>
      <c r="E53" s="111"/>
      <c r="F53" s="111"/>
      <c r="G53" s="111"/>
      <c r="H53" s="111"/>
      <c r="I53" s="111"/>
      <c r="J53" s="111"/>
      <c r="K53" s="111"/>
      <c r="L53" s="111"/>
      <c r="M53" s="111"/>
      <c r="N53" s="111"/>
      <c r="O53" s="111"/>
      <c r="P53" s="111"/>
      <c r="Q53" s="139"/>
      <c r="R53" s="191"/>
      <c r="S53" s="191"/>
      <c r="T53" s="191"/>
      <c r="U53" s="192"/>
      <c r="V53" s="193"/>
      <c r="W53" s="194"/>
      <c r="X53" s="117"/>
      <c r="Y53" s="111"/>
      <c r="Z53" s="111"/>
    </row>
    <row r="54" spans="1:26">
      <c r="A54" s="111"/>
      <c r="B54" s="111"/>
      <c r="C54" s="111"/>
      <c r="D54" s="111"/>
      <c r="E54" s="111"/>
      <c r="F54" s="111"/>
      <c r="G54" s="111"/>
      <c r="H54" s="111"/>
      <c r="I54" s="111"/>
      <c r="J54" s="111"/>
      <c r="K54" s="111"/>
      <c r="L54" s="111"/>
      <c r="M54" s="111"/>
      <c r="N54" s="111"/>
      <c r="O54" s="111"/>
      <c r="P54" s="111"/>
      <c r="Q54" s="139"/>
      <c r="R54" s="191"/>
      <c r="S54" s="191"/>
      <c r="T54" s="191"/>
      <c r="U54" s="192"/>
      <c r="V54" s="193"/>
      <c r="W54" s="194"/>
      <c r="X54" s="117"/>
      <c r="Y54" s="111"/>
      <c r="Z54" s="111"/>
    </row>
    <row r="55" spans="1:26">
      <c r="A55" s="111"/>
      <c r="B55" s="111"/>
      <c r="C55" s="111"/>
      <c r="D55" s="111"/>
      <c r="E55" s="111"/>
      <c r="F55" s="111"/>
      <c r="G55" s="111"/>
      <c r="H55" s="111"/>
      <c r="I55" s="111"/>
      <c r="J55" s="111"/>
      <c r="K55" s="111"/>
      <c r="L55" s="111"/>
      <c r="M55" s="111"/>
      <c r="N55" s="111"/>
      <c r="O55" s="111"/>
      <c r="P55" s="111"/>
      <c r="Q55" s="139"/>
      <c r="R55" s="191"/>
      <c r="S55" s="191"/>
      <c r="T55" s="191"/>
      <c r="U55" s="192"/>
      <c r="V55" s="193"/>
      <c r="W55" s="194"/>
      <c r="X55" s="117"/>
      <c r="Y55" s="111"/>
      <c r="Z55" s="111"/>
    </row>
    <row r="56" spans="1:26">
      <c r="A56" s="111"/>
      <c r="B56" s="111"/>
      <c r="C56" s="111"/>
      <c r="D56" s="111"/>
      <c r="E56" s="111"/>
      <c r="F56" s="111"/>
      <c r="G56" s="111"/>
      <c r="H56" s="111"/>
      <c r="I56" s="111"/>
      <c r="J56" s="111"/>
      <c r="K56" s="111"/>
      <c r="L56" s="111"/>
      <c r="M56" s="111"/>
      <c r="N56" s="111"/>
      <c r="O56" s="111"/>
      <c r="P56" s="111"/>
      <c r="Q56" s="139"/>
      <c r="R56" s="191"/>
      <c r="S56" s="191"/>
      <c r="T56" s="191"/>
      <c r="U56" s="192"/>
      <c r="V56" s="193"/>
      <c r="W56" s="194"/>
      <c r="X56" s="117"/>
      <c r="Y56" s="111"/>
      <c r="Z56" s="111"/>
    </row>
    <row r="57" spans="1:26">
      <c r="A57" s="111"/>
      <c r="B57" s="111"/>
      <c r="C57" s="111"/>
      <c r="D57" s="111"/>
      <c r="E57" s="111"/>
      <c r="F57" s="111"/>
      <c r="G57" s="111"/>
      <c r="H57" s="111"/>
      <c r="I57" s="111"/>
      <c r="J57" s="111"/>
      <c r="K57" s="111"/>
      <c r="L57" s="111"/>
      <c r="M57" s="111"/>
      <c r="N57" s="111"/>
      <c r="O57" s="111"/>
      <c r="P57" s="111"/>
      <c r="Q57" s="139"/>
      <c r="R57" s="191"/>
      <c r="S57" s="191"/>
      <c r="T57" s="191"/>
      <c r="U57" s="192"/>
      <c r="V57" s="193"/>
      <c r="W57" s="194"/>
      <c r="X57" s="117"/>
      <c r="Y57" s="111"/>
      <c r="Z57" s="111"/>
    </row>
    <row r="58" spans="1:26">
      <c r="A58" s="111"/>
      <c r="B58" s="111"/>
      <c r="C58" s="111"/>
      <c r="D58" s="111"/>
      <c r="E58" s="111"/>
      <c r="F58" s="111"/>
      <c r="G58" s="111"/>
      <c r="H58" s="111"/>
      <c r="I58" s="111"/>
      <c r="J58" s="111"/>
      <c r="K58" s="111"/>
      <c r="L58" s="111"/>
      <c r="M58" s="111"/>
      <c r="N58" s="111"/>
      <c r="O58" s="111"/>
      <c r="P58" s="111"/>
      <c r="Q58" s="139"/>
      <c r="R58" s="191"/>
      <c r="S58" s="191"/>
      <c r="T58" s="191"/>
      <c r="U58" s="192"/>
      <c r="V58" s="193"/>
      <c r="W58" s="194"/>
      <c r="X58" s="117"/>
      <c r="Y58" s="111"/>
      <c r="Z58" s="111"/>
    </row>
    <row r="59" spans="1:26">
      <c r="A59" s="111"/>
      <c r="B59" s="111"/>
      <c r="C59" s="111"/>
      <c r="D59" s="111"/>
      <c r="E59" s="111"/>
      <c r="F59" s="111"/>
      <c r="G59" s="111"/>
      <c r="H59" s="111"/>
      <c r="I59" s="111"/>
      <c r="J59" s="111"/>
      <c r="K59" s="111"/>
      <c r="L59" s="111"/>
      <c r="M59" s="111"/>
      <c r="N59" s="111"/>
      <c r="O59" s="111"/>
      <c r="P59" s="111"/>
      <c r="Q59" s="139"/>
      <c r="R59" s="191"/>
      <c r="S59" s="191"/>
      <c r="T59" s="191"/>
      <c r="U59" s="192"/>
      <c r="V59" s="193"/>
      <c r="W59" s="194"/>
      <c r="X59" s="117"/>
      <c r="Y59" s="111"/>
      <c r="Z59" s="111"/>
    </row>
    <row r="60" spans="1:26">
      <c r="A60" s="111"/>
      <c r="B60" s="111"/>
      <c r="C60" s="111"/>
      <c r="D60" s="111"/>
      <c r="E60" s="111"/>
      <c r="F60" s="111"/>
      <c r="G60" s="111"/>
      <c r="H60" s="111"/>
      <c r="I60" s="111"/>
      <c r="J60" s="111"/>
      <c r="K60" s="111"/>
      <c r="L60" s="111"/>
      <c r="M60" s="111"/>
      <c r="N60" s="111"/>
      <c r="O60" s="111"/>
      <c r="P60" s="111"/>
      <c r="Q60" s="139"/>
      <c r="R60" s="191"/>
      <c r="S60" s="191"/>
      <c r="T60" s="191"/>
      <c r="U60" s="192"/>
      <c r="V60" s="193"/>
      <c r="W60" s="194"/>
      <c r="X60" s="117"/>
      <c r="Y60" s="111"/>
      <c r="Z60" s="111"/>
    </row>
    <row r="61" spans="1:26">
      <c r="A61" s="111"/>
      <c r="B61" s="111"/>
      <c r="C61" s="111"/>
      <c r="D61" s="111"/>
      <c r="E61" s="111"/>
      <c r="F61" s="111"/>
      <c r="G61" s="111"/>
      <c r="H61" s="111"/>
      <c r="I61" s="111"/>
      <c r="J61" s="111"/>
      <c r="K61" s="111"/>
      <c r="L61" s="111"/>
      <c r="M61" s="111"/>
      <c r="N61" s="111"/>
      <c r="O61" s="111"/>
      <c r="P61" s="111"/>
      <c r="Q61" s="139"/>
      <c r="R61" s="191"/>
      <c r="S61" s="191"/>
      <c r="T61" s="191"/>
      <c r="U61" s="192"/>
      <c r="V61" s="193"/>
      <c r="W61" s="194"/>
      <c r="X61" s="117"/>
      <c r="Y61" s="111"/>
      <c r="Z61" s="111"/>
    </row>
    <row r="62" spans="1:26">
      <c r="A62" s="111"/>
      <c r="B62" s="111"/>
      <c r="C62" s="111"/>
      <c r="D62" s="111"/>
      <c r="E62" s="111"/>
      <c r="F62" s="111"/>
      <c r="G62" s="111"/>
      <c r="H62" s="111"/>
      <c r="I62" s="111"/>
      <c r="J62" s="111"/>
      <c r="K62" s="111"/>
      <c r="L62" s="111"/>
      <c r="M62" s="111"/>
      <c r="N62" s="111"/>
      <c r="O62" s="111"/>
      <c r="P62" s="111"/>
      <c r="Q62" s="139"/>
      <c r="R62" s="191"/>
      <c r="S62" s="191"/>
      <c r="T62" s="191"/>
      <c r="U62" s="192"/>
      <c r="V62" s="193"/>
      <c r="W62" s="194"/>
      <c r="X62" s="117"/>
      <c r="Y62" s="111"/>
      <c r="Z62" s="111"/>
    </row>
    <row r="63" spans="1:26">
      <c r="A63" s="111"/>
      <c r="B63" s="111"/>
      <c r="C63" s="111"/>
      <c r="D63" s="111"/>
      <c r="E63" s="111"/>
      <c r="F63" s="111"/>
      <c r="G63" s="111"/>
      <c r="H63" s="111"/>
      <c r="I63" s="111"/>
      <c r="J63" s="111"/>
      <c r="K63" s="111"/>
      <c r="L63" s="111"/>
      <c r="M63" s="111"/>
      <c r="N63" s="111"/>
      <c r="O63" s="111"/>
      <c r="P63" s="111"/>
      <c r="Q63" s="139"/>
      <c r="R63" s="191"/>
      <c r="S63" s="191"/>
      <c r="T63" s="191"/>
      <c r="U63" s="192"/>
      <c r="V63" s="193"/>
      <c r="W63" s="194"/>
      <c r="X63" s="117"/>
      <c r="Y63" s="111"/>
      <c r="Z63" s="111"/>
    </row>
    <row r="64" spans="1:26">
      <c r="A64" s="111"/>
      <c r="B64" s="111"/>
      <c r="C64" s="111"/>
      <c r="D64" s="111"/>
      <c r="E64" s="111"/>
      <c r="F64" s="111"/>
      <c r="G64" s="111"/>
      <c r="H64" s="111"/>
      <c r="I64" s="111"/>
      <c r="J64" s="111"/>
      <c r="K64" s="111"/>
      <c r="L64" s="111"/>
      <c r="M64" s="111"/>
      <c r="N64" s="111"/>
      <c r="O64" s="111"/>
      <c r="P64" s="111"/>
      <c r="Q64" s="139"/>
      <c r="R64" s="191"/>
      <c r="S64" s="191"/>
      <c r="T64" s="191"/>
      <c r="U64" s="192"/>
      <c r="V64" s="193"/>
      <c r="W64" s="194"/>
      <c r="X64" s="117"/>
      <c r="Y64" s="111"/>
      <c r="Z64" s="111"/>
    </row>
    <row r="65" spans="1:26">
      <c r="A65" s="111"/>
      <c r="B65" s="111"/>
      <c r="C65" s="111"/>
      <c r="D65" s="111"/>
      <c r="E65" s="111"/>
      <c r="F65" s="111"/>
      <c r="G65" s="111"/>
      <c r="H65" s="111"/>
      <c r="I65" s="111"/>
      <c r="J65" s="111"/>
      <c r="K65" s="111"/>
      <c r="L65" s="111"/>
      <c r="M65" s="111"/>
      <c r="N65" s="111"/>
      <c r="O65" s="111"/>
      <c r="P65" s="111"/>
      <c r="Q65" s="139"/>
      <c r="R65" s="191"/>
      <c r="S65" s="191"/>
      <c r="T65" s="191"/>
      <c r="U65" s="192"/>
      <c r="V65" s="193"/>
      <c r="W65" s="194"/>
      <c r="X65" s="117"/>
      <c r="Y65" s="111"/>
      <c r="Z65" s="111"/>
    </row>
    <row r="66" spans="1:26">
      <c r="A66" s="111"/>
      <c r="B66" s="111"/>
      <c r="C66" s="111"/>
      <c r="D66" s="111"/>
      <c r="E66" s="111"/>
      <c r="F66" s="111"/>
      <c r="G66" s="111"/>
      <c r="H66" s="111"/>
      <c r="I66" s="111"/>
      <c r="J66" s="111"/>
      <c r="K66" s="111"/>
      <c r="L66" s="111"/>
      <c r="M66" s="111"/>
      <c r="N66" s="111"/>
      <c r="O66" s="111"/>
      <c r="P66" s="111"/>
      <c r="Q66" s="139"/>
      <c r="R66" s="191"/>
      <c r="S66" s="191"/>
      <c r="T66" s="191"/>
      <c r="U66" s="192"/>
      <c r="V66" s="193"/>
      <c r="W66" s="194"/>
      <c r="X66" s="117"/>
      <c r="Y66" s="111"/>
      <c r="Z66" s="111"/>
    </row>
    <row r="67" spans="1:26">
      <c r="A67" s="111"/>
      <c r="B67" s="111"/>
      <c r="C67" s="111"/>
      <c r="D67" s="111"/>
      <c r="E67" s="111"/>
      <c r="F67" s="111"/>
      <c r="G67" s="111"/>
      <c r="H67" s="111"/>
      <c r="I67" s="111"/>
      <c r="J67" s="111"/>
      <c r="K67" s="111"/>
      <c r="L67" s="111"/>
      <c r="M67" s="111"/>
      <c r="N67" s="111"/>
      <c r="O67" s="111"/>
      <c r="P67" s="111"/>
      <c r="Q67" s="139"/>
      <c r="R67" s="191"/>
      <c r="S67" s="191"/>
      <c r="T67" s="191"/>
      <c r="U67" s="192"/>
      <c r="V67" s="193"/>
      <c r="W67" s="194"/>
      <c r="X67" s="117"/>
      <c r="Y67" s="111"/>
      <c r="Z67" s="111"/>
    </row>
    <row r="68" spans="1:26">
      <c r="A68" s="111"/>
      <c r="B68" s="111"/>
      <c r="C68" s="111"/>
      <c r="D68" s="111"/>
      <c r="E68" s="111"/>
      <c r="F68" s="111"/>
      <c r="G68" s="111"/>
      <c r="H68" s="111"/>
      <c r="I68" s="111"/>
      <c r="J68" s="111"/>
      <c r="K68" s="111"/>
      <c r="L68" s="111"/>
      <c r="M68" s="111"/>
      <c r="N68" s="111"/>
      <c r="O68" s="111"/>
      <c r="P68" s="111"/>
      <c r="Q68" s="139"/>
      <c r="R68" s="191"/>
      <c r="S68" s="191"/>
      <c r="T68" s="191"/>
      <c r="U68" s="192"/>
      <c r="V68" s="193"/>
      <c r="W68" s="194"/>
      <c r="X68" s="117"/>
      <c r="Y68" s="111"/>
      <c r="Z68" s="111"/>
    </row>
    <row r="69" spans="1:26">
      <c r="A69" s="111"/>
      <c r="B69" s="111"/>
      <c r="C69" s="111"/>
      <c r="D69" s="111"/>
      <c r="E69" s="111"/>
      <c r="F69" s="111"/>
      <c r="G69" s="111"/>
      <c r="H69" s="111"/>
      <c r="I69" s="111"/>
      <c r="J69" s="111"/>
      <c r="K69" s="111"/>
      <c r="L69" s="111"/>
      <c r="M69" s="111"/>
      <c r="N69" s="111"/>
      <c r="O69" s="111"/>
      <c r="P69" s="111"/>
      <c r="Q69" s="139"/>
      <c r="R69" s="191"/>
      <c r="S69" s="191"/>
      <c r="T69" s="191"/>
      <c r="U69" s="192"/>
      <c r="V69" s="193"/>
      <c r="W69" s="194"/>
      <c r="X69" s="117"/>
      <c r="Y69" s="111"/>
      <c r="Z69" s="111"/>
    </row>
    <row r="70" spans="1:26">
      <c r="A70" s="111"/>
      <c r="B70" s="111"/>
      <c r="C70" s="111"/>
      <c r="D70" s="111"/>
      <c r="E70" s="111"/>
      <c r="F70" s="111"/>
      <c r="G70" s="111"/>
      <c r="H70" s="111"/>
      <c r="I70" s="111"/>
      <c r="J70" s="111"/>
      <c r="K70" s="111"/>
      <c r="L70" s="111"/>
      <c r="M70" s="111"/>
      <c r="N70" s="111"/>
      <c r="O70" s="111"/>
      <c r="P70" s="111"/>
      <c r="Q70" s="139"/>
      <c r="R70" s="191"/>
      <c r="S70" s="191"/>
      <c r="T70" s="191"/>
      <c r="U70" s="192"/>
      <c r="V70" s="193"/>
      <c r="W70" s="194"/>
      <c r="X70" s="117"/>
      <c r="Y70" s="111"/>
      <c r="Z70" s="111"/>
    </row>
    <row r="71" spans="1:26">
      <c r="A71" s="111"/>
      <c r="B71" s="111"/>
      <c r="C71" s="111"/>
      <c r="D71" s="111"/>
      <c r="E71" s="111"/>
      <c r="F71" s="111"/>
      <c r="G71" s="111"/>
      <c r="H71" s="111"/>
      <c r="I71" s="111"/>
      <c r="J71" s="111"/>
      <c r="K71" s="111"/>
      <c r="L71" s="111"/>
      <c r="M71" s="111"/>
      <c r="N71" s="111"/>
      <c r="O71" s="111"/>
      <c r="P71" s="111"/>
      <c r="Q71" s="139"/>
      <c r="R71" s="191"/>
      <c r="S71" s="191"/>
      <c r="T71" s="191"/>
      <c r="U71" s="192"/>
      <c r="V71" s="193"/>
      <c r="W71" s="194"/>
      <c r="X71" s="117"/>
      <c r="Y71" s="111"/>
      <c r="Z71" s="111"/>
    </row>
    <row r="72" spans="1:26">
      <c r="A72" s="111"/>
      <c r="B72" s="111"/>
      <c r="C72" s="111"/>
      <c r="D72" s="111"/>
      <c r="E72" s="111"/>
      <c r="F72" s="111"/>
      <c r="G72" s="111"/>
      <c r="H72" s="111"/>
      <c r="I72" s="111"/>
      <c r="J72" s="111"/>
      <c r="K72" s="111"/>
      <c r="L72" s="111"/>
      <c r="M72" s="111"/>
      <c r="N72" s="111"/>
      <c r="O72" s="111"/>
      <c r="P72" s="111"/>
      <c r="Q72" s="139"/>
      <c r="R72" s="191"/>
      <c r="S72" s="191"/>
      <c r="T72" s="191"/>
      <c r="U72" s="192"/>
      <c r="V72" s="193"/>
      <c r="W72" s="194"/>
      <c r="X72" s="117"/>
      <c r="Y72" s="111"/>
      <c r="Z72" s="111"/>
    </row>
    <row r="73" spans="1:26">
      <c r="A73" s="111"/>
      <c r="B73" s="111"/>
      <c r="C73" s="111"/>
      <c r="D73" s="111"/>
      <c r="E73" s="111"/>
      <c r="F73" s="111"/>
      <c r="G73" s="111"/>
      <c r="H73" s="111"/>
      <c r="I73" s="111"/>
      <c r="J73" s="111"/>
      <c r="K73" s="111"/>
      <c r="L73" s="111"/>
      <c r="M73" s="111"/>
      <c r="N73" s="111"/>
      <c r="O73" s="111"/>
      <c r="P73" s="111"/>
      <c r="Q73" s="139"/>
      <c r="R73" s="191"/>
      <c r="S73" s="191"/>
      <c r="T73" s="191"/>
      <c r="U73" s="192"/>
      <c r="V73" s="193"/>
      <c r="W73" s="194"/>
      <c r="X73" s="117"/>
      <c r="Y73" s="111"/>
      <c r="Z73" s="111"/>
    </row>
    <row r="74" spans="1:26">
      <c r="A74" s="111"/>
      <c r="B74" s="111"/>
      <c r="C74" s="111"/>
      <c r="D74" s="111"/>
      <c r="E74" s="111"/>
      <c r="F74" s="111"/>
      <c r="G74" s="111"/>
      <c r="H74" s="111"/>
      <c r="I74" s="111"/>
      <c r="J74" s="111"/>
      <c r="K74" s="111"/>
      <c r="L74" s="111"/>
      <c r="M74" s="111"/>
      <c r="N74" s="111"/>
      <c r="O74" s="111"/>
      <c r="P74" s="111"/>
      <c r="Q74" s="139"/>
      <c r="R74" s="191"/>
      <c r="S74" s="191"/>
      <c r="T74" s="191"/>
      <c r="U74" s="192"/>
      <c r="V74" s="193"/>
      <c r="W74" s="194"/>
      <c r="X74" s="117"/>
      <c r="Y74" s="111"/>
      <c r="Z74" s="111"/>
    </row>
    <row r="75" spans="1:26">
      <c r="A75" s="111"/>
      <c r="B75" s="111"/>
      <c r="C75" s="111"/>
      <c r="D75" s="111"/>
      <c r="E75" s="111"/>
      <c r="F75" s="111"/>
      <c r="G75" s="111"/>
      <c r="H75" s="111"/>
      <c r="I75" s="111"/>
      <c r="J75" s="111"/>
      <c r="K75" s="111"/>
      <c r="L75" s="111"/>
      <c r="M75" s="111"/>
      <c r="N75" s="111"/>
      <c r="O75" s="111"/>
      <c r="P75" s="111"/>
      <c r="Q75" s="139"/>
      <c r="R75" s="191"/>
      <c r="S75" s="191"/>
      <c r="T75" s="191"/>
      <c r="U75" s="192"/>
      <c r="V75" s="193"/>
      <c r="W75" s="194"/>
      <c r="X75" s="117"/>
      <c r="Y75" s="111"/>
      <c r="Z75" s="111"/>
    </row>
    <row r="76" spans="1:26">
      <c r="A76" s="111"/>
      <c r="B76" s="111"/>
      <c r="C76" s="111"/>
      <c r="D76" s="111"/>
      <c r="E76" s="111"/>
      <c r="F76" s="111"/>
      <c r="G76" s="111"/>
      <c r="H76" s="111"/>
      <c r="I76" s="111"/>
      <c r="J76" s="111"/>
      <c r="K76" s="111"/>
      <c r="L76" s="111"/>
      <c r="M76" s="111"/>
      <c r="N76" s="111"/>
      <c r="O76" s="111"/>
      <c r="P76" s="111"/>
      <c r="Q76" s="139"/>
      <c r="R76" s="191"/>
      <c r="S76" s="191"/>
      <c r="T76" s="191"/>
      <c r="U76" s="192"/>
      <c r="V76" s="193"/>
      <c r="W76" s="194"/>
      <c r="X76" s="117"/>
      <c r="Y76" s="111"/>
      <c r="Z76" s="111"/>
    </row>
    <row r="77" spans="1:26">
      <c r="A77" s="111"/>
      <c r="B77" s="111"/>
      <c r="C77" s="111"/>
      <c r="D77" s="111"/>
      <c r="E77" s="111"/>
      <c r="F77" s="111"/>
      <c r="G77" s="111"/>
      <c r="H77" s="111"/>
      <c r="I77" s="111"/>
      <c r="J77" s="111"/>
      <c r="K77" s="111"/>
      <c r="L77" s="111"/>
      <c r="M77" s="111"/>
      <c r="N77" s="111"/>
      <c r="O77" s="111"/>
      <c r="P77" s="111"/>
      <c r="Q77" s="139"/>
      <c r="R77" s="191"/>
      <c r="S77" s="191"/>
      <c r="T77" s="191"/>
      <c r="U77" s="192"/>
      <c r="V77" s="193"/>
      <c r="W77" s="194"/>
      <c r="X77" s="117"/>
      <c r="Y77" s="111"/>
      <c r="Z77" s="111"/>
    </row>
    <row r="78" spans="1:26">
      <c r="A78" s="111"/>
      <c r="B78" s="111"/>
      <c r="C78" s="111"/>
      <c r="D78" s="111"/>
      <c r="E78" s="111"/>
      <c r="F78" s="111"/>
      <c r="G78" s="111"/>
      <c r="H78" s="111"/>
      <c r="I78" s="111"/>
      <c r="J78" s="111"/>
      <c r="K78" s="111"/>
      <c r="L78" s="111"/>
      <c r="M78" s="111"/>
      <c r="N78" s="111"/>
      <c r="O78" s="111"/>
      <c r="P78" s="111"/>
      <c r="Q78" s="139"/>
      <c r="R78" s="191"/>
      <c r="S78" s="191"/>
      <c r="T78" s="191"/>
      <c r="U78" s="192"/>
      <c r="V78" s="193"/>
      <c r="W78" s="194"/>
      <c r="X78" s="117"/>
      <c r="Y78" s="111"/>
      <c r="Z78" s="111"/>
    </row>
    <row r="79" spans="1:26">
      <c r="A79" s="111"/>
      <c r="B79" s="111"/>
      <c r="C79" s="111"/>
      <c r="D79" s="111"/>
      <c r="E79" s="111"/>
      <c r="F79" s="111"/>
      <c r="G79" s="111"/>
      <c r="H79" s="111"/>
      <c r="I79" s="111"/>
      <c r="J79" s="111"/>
      <c r="K79" s="111"/>
      <c r="L79" s="111"/>
      <c r="M79" s="111"/>
      <c r="N79" s="111"/>
      <c r="O79" s="111"/>
      <c r="P79" s="111"/>
      <c r="Q79" s="139"/>
      <c r="R79" s="191"/>
      <c r="S79" s="191"/>
      <c r="T79" s="191"/>
      <c r="U79" s="192"/>
      <c r="V79" s="193"/>
      <c r="W79" s="194"/>
      <c r="X79" s="117"/>
      <c r="Y79" s="111"/>
      <c r="Z79" s="111"/>
    </row>
    <row r="80" spans="1:26">
      <c r="A80" s="111"/>
      <c r="B80" s="111"/>
      <c r="C80" s="111"/>
      <c r="D80" s="111"/>
      <c r="E80" s="111"/>
      <c r="F80" s="111"/>
      <c r="G80" s="111"/>
      <c r="H80" s="111"/>
      <c r="I80" s="111"/>
      <c r="J80" s="111"/>
      <c r="K80" s="111"/>
      <c r="L80" s="111"/>
      <c r="M80" s="111"/>
      <c r="N80" s="111"/>
      <c r="O80" s="111"/>
      <c r="P80" s="111"/>
      <c r="Q80" s="139"/>
      <c r="R80" s="191"/>
      <c r="S80" s="191"/>
      <c r="T80" s="191"/>
      <c r="U80" s="192"/>
      <c r="V80" s="193"/>
      <c r="W80" s="194"/>
      <c r="X80" s="117"/>
      <c r="Y80" s="111"/>
      <c r="Z80" s="111"/>
    </row>
    <row r="81" spans="1:26">
      <c r="A81" s="111"/>
      <c r="B81" s="111"/>
      <c r="C81" s="111"/>
      <c r="D81" s="111"/>
      <c r="E81" s="111"/>
      <c r="F81" s="111"/>
      <c r="G81" s="111"/>
      <c r="H81" s="111"/>
      <c r="I81" s="111"/>
      <c r="J81" s="111"/>
      <c r="K81" s="111"/>
      <c r="L81" s="111"/>
      <c r="M81" s="111"/>
      <c r="N81" s="111"/>
      <c r="O81" s="111"/>
      <c r="P81" s="111"/>
      <c r="Q81" s="139"/>
      <c r="R81" s="191"/>
      <c r="S81" s="191"/>
      <c r="T81" s="191"/>
      <c r="U81" s="192"/>
      <c r="V81" s="193"/>
      <c r="W81" s="194"/>
      <c r="X81" s="117"/>
      <c r="Y81" s="111"/>
      <c r="Z81" s="111"/>
    </row>
    <row r="82" spans="1:26">
      <c r="A82" s="111"/>
      <c r="B82" s="111"/>
      <c r="C82" s="111"/>
      <c r="D82" s="111"/>
      <c r="E82" s="111"/>
      <c r="F82" s="111"/>
      <c r="G82" s="111"/>
      <c r="H82" s="111"/>
      <c r="I82" s="111"/>
      <c r="J82" s="111"/>
      <c r="K82" s="111"/>
      <c r="L82" s="111"/>
      <c r="M82" s="111"/>
      <c r="N82" s="111"/>
      <c r="O82" s="111"/>
      <c r="P82" s="111"/>
      <c r="Q82" s="139"/>
      <c r="R82" s="191"/>
      <c r="S82" s="191"/>
      <c r="T82" s="191"/>
      <c r="U82" s="192"/>
      <c r="V82" s="193"/>
      <c r="W82" s="194"/>
      <c r="X82" s="117"/>
      <c r="Y82" s="111"/>
      <c r="Z82" s="111"/>
    </row>
    <row r="83" spans="1:26">
      <c r="A83" s="111"/>
      <c r="B83" s="111"/>
      <c r="C83" s="111"/>
      <c r="D83" s="111"/>
      <c r="E83" s="111"/>
      <c r="F83" s="111"/>
      <c r="G83" s="111"/>
      <c r="H83" s="111"/>
      <c r="I83" s="111"/>
      <c r="J83" s="111"/>
      <c r="K83" s="111"/>
      <c r="L83" s="111"/>
      <c r="M83" s="111"/>
      <c r="N83" s="111"/>
      <c r="O83" s="111"/>
      <c r="P83" s="111"/>
      <c r="Q83" s="139"/>
      <c r="R83" s="191"/>
      <c r="S83" s="191"/>
      <c r="T83" s="191"/>
      <c r="U83" s="192"/>
      <c r="V83" s="193"/>
      <c r="W83" s="194"/>
      <c r="X83" s="117"/>
      <c r="Y83" s="111"/>
      <c r="Z83" s="111"/>
    </row>
    <row r="84" spans="1:26">
      <c r="A84" s="111"/>
      <c r="B84" s="111"/>
      <c r="C84" s="111"/>
      <c r="D84" s="111"/>
      <c r="E84" s="111"/>
      <c r="F84" s="111"/>
      <c r="G84" s="111"/>
      <c r="H84" s="111"/>
      <c r="I84" s="111"/>
      <c r="J84" s="111"/>
      <c r="K84" s="111"/>
      <c r="L84" s="111"/>
      <c r="M84" s="111"/>
      <c r="N84" s="111"/>
      <c r="O84" s="111"/>
      <c r="P84" s="111"/>
      <c r="Q84" s="139"/>
      <c r="R84" s="191"/>
      <c r="S84" s="191"/>
      <c r="T84" s="191"/>
      <c r="U84" s="192"/>
      <c r="V84" s="193"/>
      <c r="W84" s="194"/>
      <c r="X84" s="117"/>
      <c r="Y84" s="111"/>
      <c r="Z84" s="111"/>
    </row>
    <row r="85" spans="1:26">
      <c r="A85" s="111"/>
      <c r="B85" s="111"/>
      <c r="C85" s="111"/>
      <c r="D85" s="111"/>
      <c r="E85" s="111"/>
      <c r="F85" s="111"/>
      <c r="G85" s="111"/>
      <c r="H85" s="111"/>
      <c r="I85" s="111"/>
      <c r="J85" s="111"/>
      <c r="K85" s="111"/>
      <c r="L85" s="111"/>
      <c r="M85" s="111"/>
      <c r="N85" s="111"/>
      <c r="O85" s="111"/>
      <c r="P85" s="111"/>
      <c r="Q85" s="139"/>
      <c r="R85" s="191"/>
      <c r="S85" s="191"/>
      <c r="T85" s="191"/>
      <c r="U85" s="192"/>
      <c r="V85" s="193"/>
      <c r="W85" s="194"/>
      <c r="X85" s="117"/>
      <c r="Y85" s="111"/>
      <c r="Z85" s="111"/>
    </row>
    <row r="86" spans="1:26">
      <c r="A86" s="111"/>
      <c r="B86" s="111"/>
      <c r="C86" s="111"/>
      <c r="D86" s="111"/>
      <c r="E86" s="111"/>
      <c r="F86" s="111"/>
      <c r="G86" s="111"/>
      <c r="H86" s="111"/>
      <c r="I86" s="111"/>
      <c r="J86" s="111"/>
      <c r="K86" s="111"/>
      <c r="L86" s="111"/>
      <c r="M86" s="111"/>
      <c r="N86" s="111"/>
      <c r="O86" s="111"/>
      <c r="P86" s="111"/>
      <c r="Q86" s="139"/>
      <c r="R86" s="191"/>
      <c r="S86" s="191"/>
      <c r="T86" s="191"/>
      <c r="U86" s="192"/>
      <c r="V86" s="193"/>
      <c r="W86" s="194"/>
      <c r="X86" s="117"/>
      <c r="Y86" s="111"/>
      <c r="Z86" s="111"/>
    </row>
    <row r="87" spans="1:26">
      <c r="A87" s="111"/>
      <c r="B87" s="111"/>
      <c r="C87" s="111"/>
      <c r="D87" s="111"/>
      <c r="E87" s="111"/>
      <c r="F87" s="111"/>
      <c r="G87" s="111"/>
      <c r="H87" s="111"/>
      <c r="I87" s="111"/>
      <c r="J87" s="111"/>
      <c r="K87" s="111"/>
      <c r="L87" s="111"/>
      <c r="M87" s="111"/>
      <c r="N87" s="111"/>
      <c r="O87" s="111"/>
      <c r="P87" s="111"/>
      <c r="Q87" s="139"/>
      <c r="R87" s="191"/>
      <c r="S87" s="191"/>
      <c r="T87" s="191"/>
      <c r="U87" s="192"/>
      <c r="V87" s="193"/>
      <c r="W87" s="194"/>
      <c r="X87" s="117"/>
      <c r="Y87" s="111"/>
      <c r="Z87" s="111"/>
    </row>
    <row r="88" spans="1:26">
      <c r="A88" s="111"/>
      <c r="B88" s="111"/>
      <c r="C88" s="111"/>
      <c r="D88" s="111"/>
      <c r="E88" s="111"/>
      <c r="F88" s="111"/>
      <c r="G88" s="111"/>
      <c r="H88" s="111"/>
      <c r="I88" s="111"/>
      <c r="J88" s="111"/>
      <c r="K88" s="111"/>
      <c r="L88" s="111"/>
      <c r="M88" s="111"/>
      <c r="N88" s="111"/>
      <c r="O88" s="111"/>
      <c r="P88" s="111"/>
      <c r="Q88" s="139"/>
      <c r="R88" s="191"/>
      <c r="S88" s="191"/>
      <c r="T88" s="191"/>
      <c r="U88" s="192"/>
      <c r="V88" s="193"/>
      <c r="W88" s="194"/>
      <c r="X88" s="117"/>
      <c r="Y88" s="111"/>
      <c r="Z88" s="111"/>
    </row>
    <row r="89" spans="1:26">
      <c r="A89" s="111"/>
      <c r="B89" s="111"/>
      <c r="C89" s="111"/>
      <c r="D89" s="111"/>
      <c r="E89" s="111"/>
      <c r="F89" s="111"/>
      <c r="G89" s="111"/>
      <c r="H89" s="111"/>
      <c r="I89" s="111"/>
      <c r="J89" s="111"/>
      <c r="K89" s="111"/>
      <c r="L89" s="111"/>
      <c r="M89" s="111"/>
      <c r="N89" s="111"/>
      <c r="O89" s="111"/>
      <c r="P89" s="111"/>
      <c r="Q89" s="139"/>
      <c r="R89" s="191"/>
      <c r="S89" s="191"/>
      <c r="T89" s="191"/>
      <c r="U89" s="192"/>
      <c r="V89" s="193"/>
      <c r="W89" s="194"/>
      <c r="X89" s="117"/>
      <c r="Y89" s="111"/>
      <c r="Z89" s="111"/>
    </row>
    <row r="90" spans="1:26">
      <c r="A90" s="111"/>
      <c r="B90" s="111"/>
      <c r="C90" s="111"/>
      <c r="D90" s="111"/>
      <c r="E90" s="111"/>
      <c r="F90" s="111"/>
      <c r="G90" s="111"/>
      <c r="H90" s="111"/>
      <c r="I90" s="111"/>
      <c r="J90" s="111"/>
      <c r="K90" s="111"/>
      <c r="L90" s="111"/>
      <c r="M90" s="111"/>
      <c r="N90" s="111"/>
      <c r="O90" s="111"/>
      <c r="P90" s="111"/>
      <c r="Q90" s="139"/>
      <c r="R90" s="191"/>
      <c r="S90" s="191"/>
      <c r="T90" s="191"/>
      <c r="U90" s="192"/>
      <c r="V90" s="193"/>
      <c r="W90" s="194"/>
      <c r="X90" s="117"/>
      <c r="Y90" s="111"/>
      <c r="Z90" s="111"/>
    </row>
    <row r="91" spans="1:26">
      <c r="A91" s="111"/>
      <c r="B91" s="111"/>
      <c r="C91" s="111"/>
      <c r="D91" s="111"/>
      <c r="E91" s="111"/>
      <c r="F91" s="111"/>
      <c r="G91" s="111"/>
      <c r="H91" s="111"/>
      <c r="I91" s="111"/>
      <c r="J91" s="111"/>
      <c r="K91" s="111"/>
      <c r="L91" s="111"/>
      <c r="M91" s="111"/>
      <c r="N91" s="111"/>
      <c r="O91" s="111"/>
      <c r="P91" s="111"/>
      <c r="Q91" s="139"/>
      <c r="R91" s="191"/>
      <c r="S91" s="191"/>
      <c r="T91" s="191"/>
      <c r="U91" s="192"/>
      <c r="V91" s="193"/>
      <c r="W91" s="194"/>
      <c r="X91" s="117"/>
      <c r="Y91" s="111"/>
      <c r="Z91" s="111"/>
    </row>
    <row r="92" spans="1:26">
      <c r="A92" s="111"/>
      <c r="B92" s="111"/>
      <c r="C92" s="111"/>
      <c r="D92" s="111"/>
      <c r="E92" s="111"/>
      <c r="F92" s="111"/>
      <c r="G92" s="111"/>
      <c r="H92" s="111"/>
      <c r="I92" s="111"/>
      <c r="J92" s="111"/>
      <c r="K92" s="111"/>
      <c r="L92" s="111"/>
      <c r="M92" s="111"/>
      <c r="N92" s="111"/>
      <c r="O92" s="111"/>
      <c r="P92" s="111"/>
      <c r="Q92" s="139"/>
      <c r="R92" s="191"/>
      <c r="S92" s="191"/>
      <c r="T92" s="191"/>
      <c r="U92" s="192"/>
      <c r="V92" s="193"/>
      <c r="W92" s="194"/>
      <c r="X92" s="117"/>
      <c r="Y92" s="111"/>
      <c r="Z92" s="111"/>
    </row>
    <row r="93" spans="1:26">
      <c r="A93" s="111"/>
      <c r="B93" s="111"/>
      <c r="C93" s="111"/>
      <c r="D93" s="111"/>
      <c r="E93" s="111"/>
      <c r="F93" s="111"/>
      <c r="G93" s="111"/>
      <c r="H93" s="111"/>
      <c r="I93" s="111"/>
      <c r="J93" s="111"/>
      <c r="K93" s="111"/>
      <c r="L93" s="111"/>
      <c r="M93" s="111"/>
      <c r="N93" s="111"/>
      <c r="O93" s="111"/>
      <c r="P93" s="111"/>
      <c r="Q93" s="139"/>
      <c r="R93" s="191"/>
      <c r="S93" s="191"/>
      <c r="T93" s="191"/>
      <c r="U93" s="192"/>
      <c r="V93" s="193"/>
      <c r="W93" s="194"/>
      <c r="X93" s="117"/>
      <c r="Y93" s="111"/>
      <c r="Z93" s="111"/>
    </row>
    <row r="94" spans="1:26">
      <c r="A94" s="111"/>
      <c r="B94" s="111"/>
      <c r="C94" s="111"/>
      <c r="D94" s="111"/>
      <c r="E94" s="111"/>
      <c r="F94" s="111"/>
      <c r="G94" s="111"/>
      <c r="H94" s="111"/>
      <c r="I94" s="111"/>
      <c r="J94" s="111"/>
      <c r="K94" s="111"/>
      <c r="L94" s="111"/>
      <c r="M94" s="111"/>
      <c r="N94" s="111"/>
      <c r="O94" s="111"/>
      <c r="P94" s="111"/>
      <c r="Q94" s="139"/>
      <c r="R94" s="191"/>
      <c r="S94" s="191"/>
      <c r="T94" s="191"/>
      <c r="U94" s="192"/>
      <c r="V94" s="193"/>
      <c r="W94" s="194"/>
      <c r="X94" s="117"/>
      <c r="Y94" s="111"/>
      <c r="Z94" s="111"/>
    </row>
    <row r="95" spans="1:26">
      <c r="A95" s="111"/>
      <c r="B95" s="111"/>
      <c r="C95" s="111"/>
      <c r="D95" s="111"/>
      <c r="E95" s="111"/>
      <c r="F95" s="111"/>
      <c r="G95" s="111"/>
      <c r="H95" s="111"/>
      <c r="I95" s="111"/>
      <c r="J95" s="111"/>
      <c r="K95" s="111"/>
      <c r="L95" s="111"/>
      <c r="M95" s="111"/>
      <c r="N95" s="111"/>
      <c r="O95" s="111"/>
      <c r="P95" s="111"/>
      <c r="Q95" s="139"/>
      <c r="R95" s="191"/>
      <c r="S95" s="191"/>
      <c r="T95" s="191"/>
      <c r="U95" s="192"/>
      <c r="V95" s="193"/>
      <c r="W95" s="194"/>
      <c r="X95" s="117"/>
      <c r="Y95" s="111"/>
      <c r="Z95" s="111"/>
    </row>
    <row r="96" spans="1:26">
      <c r="A96" s="111"/>
      <c r="B96" s="111"/>
      <c r="C96" s="111"/>
      <c r="D96" s="111"/>
      <c r="E96" s="111"/>
      <c r="F96" s="111"/>
      <c r="G96" s="111"/>
      <c r="H96" s="111"/>
      <c r="I96" s="111"/>
      <c r="J96" s="111"/>
      <c r="K96" s="111"/>
      <c r="L96" s="111"/>
      <c r="M96" s="111"/>
      <c r="N96" s="111"/>
      <c r="O96" s="111"/>
      <c r="P96" s="111"/>
      <c r="Q96" s="139"/>
      <c r="R96" s="191"/>
      <c r="S96" s="191"/>
      <c r="T96" s="191"/>
      <c r="U96" s="192"/>
      <c r="V96" s="193"/>
      <c r="W96" s="194"/>
      <c r="X96" s="117"/>
      <c r="Y96" s="111"/>
      <c r="Z96" s="111"/>
    </row>
    <row r="97" spans="1:26">
      <c r="A97" s="111"/>
      <c r="B97" s="111"/>
      <c r="C97" s="111"/>
      <c r="D97" s="111"/>
      <c r="E97" s="111"/>
      <c r="F97" s="111"/>
      <c r="G97" s="111"/>
      <c r="H97" s="111"/>
      <c r="I97" s="111"/>
      <c r="J97" s="111"/>
      <c r="K97" s="111"/>
      <c r="L97" s="111"/>
      <c r="M97" s="111"/>
      <c r="N97" s="111"/>
      <c r="O97" s="111"/>
      <c r="P97" s="111"/>
      <c r="Q97" s="139"/>
      <c r="R97" s="191"/>
      <c r="S97" s="191"/>
      <c r="T97" s="191"/>
      <c r="U97" s="192"/>
      <c r="V97" s="193"/>
      <c r="W97" s="194"/>
      <c r="X97" s="117"/>
      <c r="Y97" s="111"/>
      <c r="Z97" s="111"/>
    </row>
    <row r="98" spans="1:26">
      <c r="A98" s="111"/>
      <c r="B98" s="111"/>
      <c r="C98" s="111"/>
      <c r="D98" s="111"/>
      <c r="E98" s="111"/>
      <c r="F98" s="111"/>
      <c r="G98" s="111"/>
      <c r="H98" s="111"/>
      <c r="I98" s="111"/>
      <c r="J98" s="111"/>
      <c r="K98" s="111"/>
      <c r="L98" s="111"/>
      <c r="M98" s="111"/>
      <c r="N98" s="111"/>
      <c r="O98" s="111"/>
      <c r="P98" s="111"/>
      <c r="Q98" s="139"/>
      <c r="R98" s="191"/>
      <c r="S98" s="191"/>
      <c r="T98" s="191"/>
      <c r="U98" s="192"/>
      <c r="V98" s="193"/>
      <c r="W98" s="194"/>
      <c r="X98" s="117"/>
      <c r="Y98" s="111"/>
      <c r="Z98" s="111"/>
    </row>
    <row r="99" spans="1:26">
      <c r="A99" s="111"/>
      <c r="B99" s="111"/>
      <c r="C99" s="111"/>
      <c r="D99" s="111"/>
      <c r="E99" s="111"/>
      <c r="F99" s="111"/>
      <c r="G99" s="111"/>
      <c r="H99" s="111"/>
      <c r="I99" s="111"/>
      <c r="J99" s="111"/>
      <c r="K99" s="111"/>
      <c r="L99" s="111"/>
      <c r="M99" s="111"/>
      <c r="N99" s="111"/>
      <c r="O99" s="111"/>
      <c r="P99" s="111"/>
      <c r="Q99" s="139"/>
      <c r="R99" s="191"/>
      <c r="S99" s="191"/>
      <c r="T99" s="191"/>
      <c r="U99" s="192"/>
      <c r="V99" s="193"/>
      <c r="W99" s="194"/>
      <c r="X99" s="117"/>
      <c r="Y99" s="111"/>
      <c r="Z99" s="111"/>
    </row>
  </sheetData>
  <pageMargins left="0.7" right="0.7" top="0.75" bottom="0.75" header="0.3" footer="0.3"/>
  <drawing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K99"/>
  <sheetViews>
    <sheetView workbookViewId="0">
      <pane ySplit="1" topLeftCell="A2" activePane="bottomLeft" state="frozen"/>
      <selection pane="bottomLeft" activeCell="B3" sqref="B3"/>
    </sheetView>
  </sheetViews>
  <sheetFormatPr defaultColWidth="12.5703125" defaultRowHeight="15" customHeight="1"/>
  <cols>
    <col min="1" max="1" width="5.140625" customWidth="1"/>
    <col min="2" max="2" width="6.28515625" customWidth="1"/>
    <col min="3" max="3" width="5.42578125" customWidth="1"/>
    <col min="4" max="4" width="11.28515625" customWidth="1"/>
    <col min="5" max="5" width="3.140625" customWidth="1"/>
    <col min="6" max="6" width="24.42578125" customWidth="1"/>
    <col min="7" max="7" width="24.85546875" customWidth="1"/>
    <col min="8" max="8" width="12.42578125" customWidth="1"/>
    <col min="9" max="10" width="7.42578125" customWidth="1"/>
    <col min="11" max="11" width="6.42578125" customWidth="1"/>
    <col min="12" max="12" width="8.42578125" customWidth="1"/>
    <col min="13" max="14" width="6.42578125" customWidth="1"/>
    <col min="15" max="16" width="7.42578125" customWidth="1"/>
    <col min="17" max="17" width="18.28515625" customWidth="1"/>
    <col min="18" max="18" width="5.7109375" customWidth="1"/>
    <col min="19" max="19" width="5.5703125" customWidth="1"/>
    <col min="20" max="20" width="6.5703125" customWidth="1"/>
    <col min="21" max="21" width="6.85546875" customWidth="1"/>
    <col min="22" max="22" width="7.7109375" customWidth="1"/>
    <col min="23" max="23" width="6.5703125" customWidth="1"/>
    <col min="24" max="24" width="7.5703125" customWidth="1"/>
    <col min="25" max="26" width="42.85546875" customWidth="1"/>
    <col min="27" max="37" width="11" customWidth="1"/>
  </cols>
  <sheetData>
    <row r="1" spans="1:37" ht="45" customHeight="1">
      <c r="A1" s="31" t="s">
        <v>9</v>
      </c>
      <c r="B1" s="66" t="str">
        <f>HYPERLINK("#rangeid=2086300674","Content Owner")</f>
        <v>Content Owner</v>
      </c>
      <c r="C1" s="67" t="str">
        <f>HYPERLINK("#rangeid=632369931","Video Owner")</f>
        <v>Video Owner</v>
      </c>
      <c r="D1" s="36" t="s">
        <v>87</v>
      </c>
      <c r="E1" s="37" t="s">
        <v>221</v>
      </c>
      <c r="F1" s="38" t="s">
        <v>223</v>
      </c>
      <c r="G1" s="31" t="s">
        <v>230</v>
      </c>
      <c r="H1" s="68" t="str">
        <f>HYPERLINK("#rangeid=906849400","Description")</f>
        <v>Description</v>
      </c>
      <c r="I1" s="41" t="s">
        <v>233</v>
      </c>
      <c r="J1" s="31" t="s">
        <v>234</v>
      </c>
      <c r="K1" s="42" t="s">
        <v>235</v>
      </c>
      <c r="L1" s="31" t="s">
        <v>236</v>
      </c>
      <c r="M1" s="31" t="s">
        <v>237</v>
      </c>
      <c r="N1" s="31" t="s">
        <v>238</v>
      </c>
      <c r="O1" s="31" t="s">
        <v>239</v>
      </c>
      <c r="P1" s="31" t="s">
        <v>240</v>
      </c>
      <c r="Q1" s="31" t="s">
        <v>241</v>
      </c>
      <c r="R1" s="43" t="s">
        <v>242</v>
      </c>
      <c r="S1" s="43" t="s">
        <v>243</v>
      </c>
      <c r="T1" s="43" t="s">
        <v>89</v>
      </c>
      <c r="U1" s="44" t="s">
        <v>244</v>
      </c>
      <c r="V1" s="45" t="s">
        <v>245</v>
      </c>
      <c r="W1" s="46" t="str">
        <f>HYPERLINK("#rangeid=120001109","Replay")</f>
        <v>Replay</v>
      </c>
      <c r="X1" s="47" t="s">
        <v>246</v>
      </c>
      <c r="Y1" s="48" t="s">
        <v>247</v>
      </c>
      <c r="Z1" s="49" t="s">
        <v>248</v>
      </c>
      <c r="AA1" s="50"/>
      <c r="AB1" s="50"/>
      <c r="AC1" s="50"/>
      <c r="AD1" s="50"/>
      <c r="AE1" s="50"/>
      <c r="AF1" s="50"/>
      <c r="AG1" s="50"/>
      <c r="AH1" s="50"/>
      <c r="AI1" s="50"/>
      <c r="AJ1" s="50"/>
      <c r="AK1" s="50"/>
    </row>
    <row r="2" spans="1:37">
      <c r="A2" s="51">
        <v>328</v>
      </c>
      <c r="B2" s="69" t="s">
        <v>127</v>
      </c>
      <c r="C2" s="61"/>
      <c r="D2" s="51"/>
      <c r="E2" s="51" t="s">
        <v>1248</v>
      </c>
      <c r="F2" s="55" t="s">
        <v>1249</v>
      </c>
      <c r="G2" s="56"/>
      <c r="H2" s="57"/>
      <c r="I2" s="51"/>
      <c r="J2" s="51">
        <f>16*1000</f>
        <v>16000</v>
      </c>
      <c r="K2" s="58">
        <v>6.0740740740740741E-2</v>
      </c>
      <c r="L2" s="59" t="s">
        <v>1162</v>
      </c>
      <c r="M2" s="51"/>
      <c r="N2" s="51"/>
      <c r="O2" s="51"/>
      <c r="P2" s="51"/>
      <c r="Q2" s="37" t="str">
        <f t="shared" ref="Q2:Q17" ca="1" si="0">HYPERLINK(IF(INT(A2)-A2=0,"",REPLACE(INDIRECT("MasterList!e"&amp;INT(A2)+1),25,8,"embed/")&amp;"?start="&amp;HOUR(M2)*3600+MINUTE(M2)*60+SECOND(M2)&amp;"&amp;end="&amp;HOUR(N2)*3600+MINUTE(N2)*60+SECOND(N2)&amp;"&amp;autoplay=1"))</f>
        <v/>
      </c>
      <c r="R2" s="52"/>
      <c r="S2" s="52"/>
      <c r="T2" s="52"/>
      <c r="U2" s="61"/>
      <c r="V2" s="62"/>
      <c r="W2" s="63"/>
      <c r="X2" s="64"/>
      <c r="Y2" s="18"/>
      <c r="Z2" s="18"/>
      <c r="AA2" s="18"/>
      <c r="AB2" s="18"/>
    </row>
    <row r="3" spans="1:37">
      <c r="A3" s="51">
        <v>750</v>
      </c>
      <c r="B3" s="69" t="s">
        <v>127</v>
      </c>
      <c r="C3" s="61"/>
      <c r="D3" s="51"/>
      <c r="E3" s="51" t="s">
        <v>2141</v>
      </c>
      <c r="F3" s="55" t="s">
        <v>2142</v>
      </c>
      <c r="G3" s="56"/>
      <c r="H3" s="57"/>
      <c r="I3" s="51"/>
      <c r="J3" s="51">
        <f>14*1000</f>
        <v>14000</v>
      </c>
      <c r="K3" s="58">
        <v>4.2465277777777775E-2</v>
      </c>
      <c r="L3" s="59" t="s">
        <v>2140</v>
      </c>
      <c r="M3" s="51"/>
      <c r="N3" s="51"/>
      <c r="O3" s="51"/>
      <c r="P3" s="51"/>
      <c r="Q3" s="37" t="str">
        <f t="shared" ca="1" si="0"/>
        <v/>
      </c>
      <c r="R3" s="52"/>
      <c r="S3" s="52"/>
      <c r="T3" s="52"/>
      <c r="U3" s="61"/>
      <c r="V3" s="62"/>
      <c r="W3" s="63"/>
      <c r="X3" s="64"/>
      <c r="Y3" s="18"/>
      <c r="Z3" s="18"/>
      <c r="AA3" s="18"/>
      <c r="AB3" s="18"/>
    </row>
    <row r="4" spans="1:37">
      <c r="A4" s="51">
        <v>740</v>
      </c>
      <c r="B4" s="69" t="s">
        <v>127</v>
      </c>
      <c r="C4" s="61"/>
      <c r="D4" s="51"/>
      <c r="E4" s="51" t="s">
        <v>2119</v>
      </c>
      <c r="F4" s="55" t="s">
        <v>2120</v>
      </c>
      <c r="G4" s="56"/>
      <c r="H4" s="57"/>
      <c r="I4" s="51"/>
      <c r="J4" s="51">
        <f>8.1*1000</f>
        <v>8100</v>
      </c>
      <c r="K4" s="58">
        <v>7.2326388888888885E-2</v>
      </c>
      <c r="L4" s="59" t="s">
        <v>2042</v>
      </c>
      <c r="M4" s="51"/>
      <c r="N4" s="51"/>
      <c r="O4" s="51"/>
      <c r="P4" s="51"/>
      <c r="Q4" s="37" t="str">
        <f t="shared" ca="1" si="0"/>
        <v/>
      </c>
      <c r="R4" s="52"/>
      <c r="S4" s="52"/>
      <c r="T4" s="52"/>
      <c r="U4" s="61"/>
      <c r="V4" s="62"/>
      <c r="W4" s="63"/>
      <c r="X4" s="64"/>
      <c r="Y4" s="18"/>
      <c r="Z4" s="18"/>
      <c r="AA4" s="18"/>
      <c r="AB4" s="18"/>
    </row>
    <row r="5" spans="1:37">
      <c r="A5" s="51">
        <v>700</v>
      </c>
      <c r="B5" s="69" t="s">
        <v>127</v>
      </c>
      <c r="C5" s="61"/>
      <c r="D5" s="51"/>
      <c r="E5" s="51" t="s">
        <v>2038</v>
      </c>
      <c r="F5" s="55" t="s">
        <v>2039</v>
      </c>
      <c r="G5" s="56"/>
      <c r="H5" s="57"/>
      <c r="I5" s="51"/>
      <c r="J5" s="51">
        <f>12*1000</f>
        <v>12000</v>
      </c>
      <c r="K5" s="58">
        <v>2.7951388888888887E-2</v>
      </c>
      <c r="L5" s="59" t="s">
        <v>2027</v>
      </c>
      <c r="M5" s="51"/>
      <c r="N5" s="51"/>
      <c r="O5" s="51"/>
      <c r="P5" s="51"/>
      <c r="Q5" s="37" t="str">
        <f t="shared" ca="1" si="0"/>
        <v/>
      </c>
      <c r="R5" s="52"/>
      <c r="S5" s="52"/>
      <c r="T5" s="52"/>
      <c r="U5" s="61"/>
      <c r="V5" s="62"/>
      <c r="W5" s="63"/>
      <c r="X5" s="64"/>
      <c r="Y5" s="18"/>
      <c r="Z5" s="18"/>
      <c r="AA5" s="18"/>
      <c r="AB5" s="18"/>
    </row>
    <row r="6" spans="1:37">
      <c r="A6" s="51">
        <v>481</v>
      </c>
      <c r="B6" s="69" t="s">
        <v>127</v>
      </c>
      <c r="C6" s="61"/>
      <c r="D6" s="51"/>
      <c r="E6" s="51" t="s">
        <v>1592</v>
      </c>
      <c r="F6" s="55" t="s">
        <v>1593</v>
      </c>
      <c r="G6" s="56"/>
      <c r="H6" s="57"/>
      <c r="I6" s="51"/>
      <c r="J6" s="51">
        <f>3.5*1000</f>
        <v>3500</v>
      </c>
      <c r="K6" s="58">
        <v>7.4884259259259262E-3</v>
      </c>
      <c r="L6" s="59" t="s">
        <v>1162</v>
      </c>
      <c r="M6" s="51"/>
      <c r="N6" s="51"/>
      <c r="O6" s="51"/>
      <c r="P6" s="51"/>
      <c r="Q6" s="37" t="str">
        <f t="shared" ca="1" si="0"/>
        <v/>
      </c>
      <c r="R6" s="52"/>
      <c r="S6" s="52"/>
      <c r="T6" s="52"/>
      <c r="U6" s="61"/>
      <c r="V6" s="62"/>
      <c r="W6" s="63"/>
      <c r="X6" s="64"/>
      <c r="Y6" s="18"/>
      <c r="Z6" s="18"/>
      <c r="AA6" s="18"/>
      <c r="AB6" s="18"/>
    </row>
    <row r="7" spans="1:37">
      <c r="A7" s="51">
        <v>106</v>
      </c>
      <c r="B7" s="69" t="s">
        <v>127</v>
      </c>
      <c r="C7" s="61"/>
      <c r="D7" s="51"/>
      <c r="E7" s="51" t="s">
        <v>681</v>
      </c>
      <c r="F7" s="55" t="s">
        <v>682</v>
      </c>
      <c r="G7" s="56"/>
      <c r="H7" s="57"/>
      <c r="I7" s="51"/>
      <c r="J7" s="51">
        <f>11*1000</f>
        <v>11000</v>
      </c>
      <c r="K7" s="58">
        <v>5.4884259259259265E-2</v>
      </c>
      <c r="L7" s="59" t="s">
        <v>459</v>
      </c>
      <c r="M7" s="51"/>
      <c r="N7" s="51"/>
      <c r="O7" s="51"/>
      <c r="P7" s="51"/>
      <c r="Q7" s="37" t="str">
        <f t="shared" ca="1" si="0"/>
        <v/>
      </c>
      <c r="R7" s="52"/>
      <c r="S7" s="52"/>
      <c r="T7" s="52"/>
      <c r="U7" s="61"/>
      <c r="V7" s="62"/>
      <c r="W7" s="63"/>
      <c r="X7" s="64"/>
      <c r="Y7" s="18"/>
      <c r="Z7" s="18"/>
      <c r="AA7" s="18"/>
      <c r="AB7" s="18"/>
    </row>
    <row r="8" spans="1:37">
      <c r="A8" s="51">
        <v>108</v>
      </c>
      <c r="B8" s="69" t="s">
        <v>127</v>
      </c>
      <c r="C8" s="61"/>
      <c r="D8" s="51"/>
      <c r="E8" s="51" t="s">
        <v>689</v>
      </c>
      <c r="F8" s="55" t="s">
        <v>690</v>
      </c>
      <c r="G8" s="56"/>
      <c r="H8" s="57"/>
      <c r="I8" s="51"/>
      <c r="J8" s="51">
        <f>2.6*1000</f>
        <v>2600</v>
      </c>
      <c r="K8" s="58">
        <v>5.2893518518518513E-2</v>
      </c>
      <c r="L8" s="59" t="s">
        <v>459</v>
      </c>
      <c r="M8" s="51"/>
      <c r="N8" s="51"/>
      <c r="O8" s="51"/>
      <c r="P8" s="51"/>
      <c r="Q8" s="37" t="str">
        <f t="shared" ca="1" si="0"/>
        <v/>
      </c>
      <c r="R8" s="52"/>
      <c r="S8" s="52"/>
      <c r="T8" s="52"/>
      <c r="U8" s="61"/>
      <c r="V8" s="62"/>
      <c r="W8" s="63"/>
      <c r="X8" s="64"/>
      <c r="Y8" s="18"/>
      <c r="Z8" s="18"/>
      <c r="AA8" s="18"/>
      <c r="AB8" s="18"/>
    </row>
    <row r="9" spans="1:37">
      <c r="A9" s="51">
        <v>245</v>
      </c>
      <c r="B9" s="69" t="s">
        <v>127</v>
      </c>
      <c r="C9" s="61"/>
      <c r="D9" s="51"/>
      <c r="E9" s="51" t="s">
        <v>1070</v>
      </c>
      <c r="F9" s="55" t="s">
        <v>1071</v>
      </c>
      <c r="G9" s="56"/>
      <c r="H9" s="57"/>
      <c r="I9" s="51"/>
      <c r="J9" s="51">
        <f>11*1000</f>
        <v>11000</v>
      </c>
      <c r="K9" s="58">
        <v>3.3321759259259259E-2</v>
      </c>
      <c r="L9" s="59" t="s">
        <v>980</v>
      </c>
      <c r="M9" s="51"/>
      <c r="N9" s="51"/>
      <c r="O9" s="51"/>
      <c r="P9" s="51"/>
      <c r="Q9" s="37" t="str">
        <f t="shared" ca="1" si="0"/>
        <v/>
      </c>
      <c r="R9" s="52"/>
      <c r="S9" s="52"/>
      <c r="T9" s="52"/>
      <c r="U9" s="61"/>
      <c r="V9" s="62"/>
      <c r="W9" s="63"/>
      <c r="X9" s="64"/>
      <c r="Y9" s="18"/>
      <c r="Z9" s="18"/>
      <c r="AA9" s="18"/>
      <c r="AB9" s="18"/>
    </row>
    <row r="10" spans="1:37">
      <c r="A10" s="51">
        <v>328</v>
      </c>
      <c r="B10" s="69" t="s">
        <v>127</v>
      </c>
      <c r="C10" s="61"/>
      <c r="D10" s="51"/>
      <c r="E10" s="51" t="s">
        <v>1248</v>
      </c>
      <c r="F10" s="55" t="s">
        <v>1249</v>
      </c>
      <c r="G10" s="56"/>
      <c r="H10" s="57"/>
      <c r="I10" s="51"/>
      <c r="J10" s="51">
        <f>16*1000</f>
        <v>16000</v>
      </c>
      <c r="K10" s="58">
        <v>6.0740740740740741E-2</v>
      </c>
      <c r="L10" s="59" t="s">
        <v>1162</v>
      </c>
      <c r="M10" s="51"/>
      <c r="N10" s="51"/>
      <c r="O10" s="51"/>
      <c r="P10" s="51"/>
      <c r="Q10" s="37" t="str">
        <f t="shared" ca="1" si="0"/>
        <v/>
      </c>
      <c r="R10" s="52"/>
      <c r="S10" s="52"/>
      <c r="T10" s="52"/>
      <c r="U10" s="61"/>
      <c r="V10" s="62"/>
      <c r="W10" s="63"/>
      <c r="X10" s="64"/>
      <c r="Y10" s="18"/>
      <c r="Z10" s="18"/>
      <c r="AA10" s="18"/>
      <c r="AB10" s="18"/>
    </row>
    <row r="11" spans="1:37">
      <c r="A11" s="51">
        <v>335</v>
      </c>
      <c r="B11" s="69" t="s">
        <v>127</v>
      </c>
      <c r="C11" s="61"/>
      <c r="D11" s="51"/>
      <c r="E11" s="51" t="s">
        <v>1262</v>
      </c>
      <c r="F11" s="55" t="s">
        <v>1263</v>
      </c>
      <c r="G11" s="56"/>
      <c r="H11" s="57"/>
      <c r="I11" s="51"/>
      <c r="J11" s="51">
        <f>8.8*1000</f>
        <v>8800</v>
      </c>
      <c r="K11" s="58">
        <v>3.9328703703703706E-2</v>
      </c>
      <c r="L11" s="59" t="s">
        <v>1162</v>
      </c>
      <c r="M11" s="51"/>
      <c r="N11" s="51"/>
      <c r="O11" s="51"/>
      <c r="P11" s="51"/>
      <c r="Q11" s="37" t="str">
        <f t="shared" ca="1" si="0"/>
        <v/>
      </c>
      <c r="R11" s="52"/>
      <c r="S11" s="52"/>
      <c r="T11" s="52"/>
      <c r="U11" s="61"/>
      <c r="V11" s="62"/>
      <c r="W11" s="63"/>
      <c r="X11" s="64"/>
      <c r="Y11" s="18"/>
      <c r="Z11" s="18"/>
      <c r="AA11" s="18"/>
      <c r="AB11" s="18"/>
    </row>
    <row r="12" spans="1:37">
      <c r="A12" s="51">
        <v>435</v>
      </c>
      <c r="B12" s="69" t="s">
        <v>127</v>
      </c>
      <c r="C12" s="61"/>
      <c r="D12" s="51"/>
      <c r="E12" s="51" t="s">
        <v>1463</v>
      </c>
      <c r="F12" s="55" t="s">
        <v>1464</v>
      </c>
      <c r="G12" s="56"/>
      <c r="H12" s="57"/>
      <c r="I12" s="51"/>
      <c r="J12" s="51">
        <f>2.4*1000</f>
        <v>2400</v>
      </c>
      <c r="K12" s="58">
        <v>1.3310185185185187E-2</v>
      </c>
      <c r="L12" s="59" t="s">
        <v>1162</v>
      </c>
      <c r="M12" s="51"/>
      <c r="N12" s="51"/>
      <c r="O12" s="51"/>
      <c r="P12" s="51"/>
      <c r="Q12" s="37" t="str">
        <f t="shared" ca="1" si="0"/>
        <v/>
      </c>
      <c r="R12" s="52"/>
      <c r="S12" s="52"/>
      <c r="T12" s="52"/>
      <c r="U12" s="61"/>
      <c r="V12" s="62"/>
      <c r="W12" s="63"/>
      <c r="X12" s="64"/>
      <c r="Y12" s="18"/>
      <c r="Z12" s="18"/>
      <c r="AA12" s="18"/>
      <c r="AB12" s="18"/>
    </row>
    <row r="13" spans="1:37">
      <c r="A13" s="51">
        <v>556</v>
      </c>
      <c r="B13" s="69" t="s">
        <v>127</v>
      </c>
      <c r="C13" s="61"/>
      <c r="D13" s="51"/>
      <c r="E13" s="51" t="s">
        <v>1743</v>
      </c>
      <c r="F13" s="55" t="s">
        <v>1744</v>
      </c>
      <c r="G13" s="56"/>
      <c r="H13" s="57"/>
      <c r="I13" s="51"/>
      <c r="J13" s="51">
        <f>3.7*1000</f>
        <v>3700</v>
      </c>
      <c r="K13" s="58">
        <v>6.7870370370370373E-2</v>
      </c>
      <c r="L13" s="59" t="s">
        <v>1312</v>
      </c>
      <c r="M13" s="51"/>
      <c r="N13" s="51"/>
      <c r="O13" s="51"/>
      <c r="P13" s="51"/>
      <c r="Q13" s="37" t="str">
        <f t="shared" ca="1" si="0"/>
        <v/>
      </c>
      <c r="R13" s="52"/>
      <c r="S13" s="52"/>
      <c r="T13" s="52"/>
      <c r="U13" s="61"/>
      <c r="V13" s="62"/>
      <c r="W13" s="63"/>
      <c r="X13" s="64"/>
      <c r="Y13" s="18"/>
      <c r="Z13" s="18"/>
      <c r="AA13" s="18"/>
      <c r="AB13" s="18"/>
    </row>
    <row r="14" spans="1:37">
      <c r="A14" s="51">
        <v>624</v>
      </c>
      <c r="B14" s="69" t="s">
        <v>127</v>
      </c>
      <c r="C14" s="61"/>
      <c r="D14" s="51"/>
      <c r="E14" s="51" t="s">
        <v>1882</v>
      </c>
      <c r="F14" s="55" t="s">
        <v>1883</v>
      </c>
      <c r="G14" s="56"/>
      <c r="H14" s="57"/>
      <c r="I14" s="51"/>
      <c r="J14" s="51">
        <f>8.5*1000</f>
        <v>8500</v>
      </c>
      <c r="K14" s="58">
        <v>5.7048611111111112E-2</v>
      </c>
      <c r="L14" s="59" t="s">
        <v>1867</v>
      </c>
      <c r="M14" s="51"/>
      <c r="N14" s="51"/>
      <c r="O14" s="51"/>
      <c r="P14" s="51"/>
      <c r="Q14" s="37" t="str">
        <f t="shared" ca="1" si="0"/>
        <v/>
      </c>
      <c r="R14" s="52"/>
      <c r="S14" s="52"/>
      <c r="T14" s="52"/>
      <c r="U14" s="61"/>
      <c r="V14" s="62"/>
      <c r="W14" s="63"/>
      <c r="X14" s="64"/>
      <c r="Y14" s="18"/>
      <c r="Z14" s="18"/>
      <c r="AA14" s="18"/>
      <c r="AB14" s="18"/>
    </row>
    <row r="15" spans="1:37">
      <c r="A15" s="51">
        <v>700</v>
      </c>
      <c r="B15" s="69" t="s">
        <v>127</v>
      </c>
      <c r="C15" s="61"/>
      <c r="D15" s="51"/>
      <c r="E15" s="51" t="s">
        <v>2038</v>
      </c>
      <c r="F15" s="55" t="s">
        <v>2039</v>
      </c>
      <c r="G15" s="56"/>
      <c r="H15" s="57"/>
      <c r="I15" s="51"/>
      <c r="J15" s="51">
        <f>12*1000</f>
        <v>12000</v>
      </c>
      <c r="K15" s="58">
        <v>2.7951388888888887E-2</v>
      </c>
      <c r="L15" s="59" t="s">
        <v>2027</v>
      </c>
      <c r="M15" s="51"/>
      <c r="N15" s="51"/>
      <c r="O15" s="51"/>
      <c r="P15" s="51"/>
      <c r="Q15" s="37" t="str">
        <f t="shared" ca="1" si="0"/>
        <v/>
      </c>
      <c r="R15" s="52"/>
      <c r="S15" s="52"/>
      <c r="T15" s="52"/>
      <c r="U15" s="61"/>
      <c r="V15" s="62"/>
      <c r="W15" s="63"/>
      <c r="X15" s="64"/>
      <c r="Y15" s="18"/>
      <c r="Z15" s="18"/>
      <c r="AA15" s="18"/>
      <c r="AB15" s="18"/>
    </row>
    <row r="16" spans="1:37">
      <c r="A16" s="51">
        <v>740</v>
      </c>
      <c r="B16" s="69" t="s">
        <v>127</v>
      </c>
      <c r="C16" s="61"/>
      <c r="D16" s="51"/>
      <c r="E16" s="51" t="s">
        <v>2119</v>
      </c>
      <c r="F16" s="55" t="s">
        <v>2120</v>
      </c>
      <c r="G16" s="56"/>
      <c r="H16" s="57"/>
      <c r="I16" s="51"/>
      <c r="J16" s="51">
        <f>8.1*1000</f>
        <v>8100</v>
      </c>
      <c r="K16" s="58">
        <v>7.2326388888888885E-2</v>
      </c>
      <c r="L16" s="59" t="s">
        <v>2042</v>
      </c>
      <c r="M16" s="51"/>
      <c r="N16" s="51"/>
      <c r="O16" s="51"/>
      <c r="P16" s="51"/>
      <c r="Q16" s="37" t="str">
        <f t="shared" ca="1" si="0"/>
        <v/>
      </c>
      <c r="R16" s="52"/>
      <c r="S16" s="52"/>
      <c r="T16" s="52"/>
      <c r="U16" s="61"/>
      <c r="V16" s="62"/>
      <c r="W16" s="63"/>
      <c r="X16" s="64"/>
      <c r="Y16" s="18"/>
      <c r="Z16" s="18"/>
      <c r="AA16" s="18"/>
      <c r="AB16" s="18"/>
    </row>
    <row r="17" spans="1:28">
      <c r="A17" s="51">
        <v>743</v>
      </c>
      <c r="B17" s="69" t="s">
        <v>127</v>
      </c>
      <c r="C17" s="61"/>
      <c r="D17" s="51"/>
      <c r="E17" s="51" t="s">
        <v>2125</v>
      </c>
      <c r="F17" s="55" t="s">
        <v>2126</v>
      </c>
      <c r="G17" s="56"/>
      <c r="H17" s="57"/>
      <c r="I17" s="51"/>
      <c r="J17" s="51">
        <f>10*1000</f>
        <v>10000</v>
      </c>
      <c r="K17" s="58">
        <v>4.5474537037037042E-2</v>
      </c>
      <c r="L17" s="59" t="s">
        <v>2042</v>
      </c>
      <c r="M17" s="51"/>
      <c r="N17" s="51"/>
      <c r="O17" s="51"/>
      <c r="P17" s="51"/>
      <c r="Q17" s="37" t="str">
        <f t="shared" ca="1" si="0"/>
        <v/>
      </c>
      <c r="R17" s="52"/>
      <c r="S17" s="52"/>
      <c r="T17" s="52"/>
      <c r="U17" s="61"/>
      <c r="V17" s="62"/>
      <c r="W17" s="63"/>
      <c r="X17" s="64"/>
      <c r="Y17" s="18"/>
      <c r="Z17" s="18"/>
      <c r="AA17" s="18"/>
      <c r="AB17" s="18"/>
    </row>
    <row r="18" spans="1:28">
      <c r="A18" s="111"/>
      <c r="B18" s="111"/>
      <c r="C18" s="111"/>
      <c r="D18" s="111"/>
      <c r="E18" s="111"/>
      <c r="F18" s="111"/>
      <c r="G18" s="111"/>
      <c r="H18" s="111"/>
      <c r="I18" s="111"/>
      <c r="J18" s="111"/>
      <c r="K18" s="111"/>
      <c r="L18" s="111"/>
      <c r="M18" s="111"/>
      <c r="N18" s="111"/>
      <c r="O18" s="111"/>
      <c r="P18" s="111"/>
      <c r="Q18" s="139"/>
      <c r="R18" s="191"/>
      <c r="S18" s="191"/>
      <c r="T18" s="191"/>
      <c r="U18" s="192"/>
      <c r="V18" s="193"/>
      <c r="W18" s="194"/>
      <c r="X18" s="117"/>
      <c r="Y18" s="111"/>
      <c r="Z18" s="111"/>
    </row>
    <row r="19" spans="1:28">
      <c r="A19" s="111"/>
      <c r="B19" s="111"/>
      <c r="C19" s="111"/>
      <c r="D19" s="111"/>
      <c r="E19" s="111"/>
      <c r="F19" s="111"/>
      <c r="G19" s="111"/>
      <c r="H19" s="111"/>
      <c r="I19" s="111"/>
      <c r="J19" s="111"/>
      <c r="K19" s="111"/>
      <c r="L19" s="111"/>
      <c r="M19" s="111"/>
      <c r="N19" s="111"/>
      <c r="O19" s="111"/>
      <c r="P19" s="111"/>
      <c r="Q19" s="139"/>
      <c r="R19" s="191"/>
      <c r="S19" s="191"/>
      <c r="T19" s="191"/>
      <c r="U19" s="192"/>
      <c r="V19" s="193"/>
      <c r="W19" s="194"/>
      <c r="X19" s="117"/>
      <c r="Y19" s="111"/>
      <c r="Z19" s="111"/>
    </row>
    <row r="20" spans="1:28">
      <c r="A20" s="111"/>
      <c r="B20" s="111"/>
      <c r="C20" s="111"/>
      <c r="D20" s="111"/>
      <c r="E20" s="111"/>
      <c r="F20" s="111"/>
      <c r="G20" s="111"/>
      <c r="H20" s="111"/>
      <c r="I20" s="111"/>
      <c r="J20" s="111"/>
      <c r="K20" s="111"/>
      <c r="L20" s="111"/>
      <c r="M20" s="111"/>
      <c r="N20" s="111"/>
      <c r="O20" s="111"/>
      <c r="P20" s="111"/>
      <c r="Q20" s="139"/>
      <c r="R20" s="191"/>
      <c r="S20" s="191"/>
      <c r="T20" s="191"/>
      <c r="U20" s="192"/>
      <c r="V20" s="193"/>
      <c r="W20" s="194"/>
      <c r="X20" s="117"/>
      <c r="Y20" s="111"/>
      <c r="Z20" s="111"/>
    </row>
    <row r="21" spans="1:28">
      <c r="A21" s="111"/>
      <c r="B21" s="111"/>
      <c r="C21" s="111"/>
      <c r="D21" s="111"/>
      <c r="E21" s="111"/>
      <c r="F21" s="111"/>
      <c r="G21" s="111"/>
      <c r="H21" s="111"/>
      <c r="I21" s="111"/>
      <c r="J21" s="111"/>
      <c r="K21" s="111"/>
      <c r="L21" s="111"/>
      <c r="M21" s="111"/>
      <c r="N21" s="111"/>
      <c r="O21" s="111"/>
      <c r="P21" s="111"/>
      <c r="Q21" s="139"/>
      <c r="R21" s="191"/>
      <c r="S21" s="191"/>
      <c r="T21" s="191"/>
      <c r="U21" s="192"/>
      <c r="V21" s="193"/>
      <c r="W21" s="194"/>
      <c r="X21" s="117"/>
      <c r="Y21" s="111"/>
      <c r="Z21" s="111"/>
    </row>
    <row r="22" spans="1:28">
      <c r="A22" s="111"/>
      <c r="B22" s="111"/>
      <c r="C22" s="111"/>
      <c r="D22" s="111"/>
      <c r="E22" s="111"/>
      <c r="F22" s="111"/>
      <c r="G22" s="111"/>
      <c r="H22" s="111"/>
      <c r="I22" s="111"/>
      <c r="J22" s="111"/>
      <c r="K22" s="111"/>
      <c r="L22" s="111"/>
      <c r="M22" s="111"/>
      <c r="N22" s="111"/>
      <c r="O22" s="111"/>
      <c r="P22" s="111"/>
      <c r="Q22" s="139"/>
      <c r="R22" s="191"/>
      <c r="S22" s="191"/>
      <c r="T22" s="191"/>
      <c r="U22" s="192"/>
      <c r="V22" s="193"/>
      <c r="W22" s="194"/>
      <c r="X22" s="117"/>
      <c r="Y22" s="111"/>
      <c r="Z22" s="111"/>
    </row>
    <row r="23" spans="1:28">
      <c r="A23" s="111"/>
      <c r="B23" s="111"/>
      <c r="C23" s="111"/>
      <c r="D23" s="111"/>
      <c r="E23" s="111"/>
      <c r="F23" s="111"/>
      <c r="G23" s="111"/>
      <c r="H23" s="111"/>
      <c r="I23" s="111"/>
      <c r="J23" s="111"/>
      <c r="K23" s="111"/>
      <c r="L23" s="111"/>
      <c r="M23" s="111"/>
      <c r="N23" s="111"/>
      <c r="O23" s="111"/>
      <c r="P23" s="111"/>
      <c r="Q23" s="139"/>
      <c r="R23" s="191"/>
      <c r="S23" s="191"/>
      <c r="T23" s="191"/>
      <c r="U23" s="192"/>
      <c r="V23" s="193"/>
      <c r="W23" s="194"/>
      <c r="X23" s="117"/>
      <c r="Y23" s="111"/>
      <c r="Z23" s="111"/>
    </row>
    <row r="24" spans="1:28">
      <c r="A24" s="111"/>
      <c r="B24" s="111"/>
      <c r="C24" s="111"/>
      <c r="D24" s="111"/>
      <c r="E24" s="111"/>
      <c r="F24" s="111"/>
      <c r="G24" s="111"/>
      <c r="H24" s="111"/>
      <c r="I24" s="111"/>
      <c r="J24" s="111"/>
      <c r="K24" s="111"/>
      <c r="L24" s="111"/>
      <c r="M24" s="111"/>
      <c r="N24" s="111"/>
      <c r="O24" s="111"/>
      <c r="P24" s="111"/>
      <c r="Q24" s="139"/>
      <c r="R24" s="191"/>
      <c r="S24" s="191"/>
      <c r="T24" s="191"/>
      <c r="U24" s="192"/>
      <c r="V24" s="193"/>
      <c r="W24" s="194"/>
      <c r="X24" s="117"/>
      <c r="Y24" s="111"/>
      <c r="Z24" s="111"/>
    </row>
    <row r="25" spans="1:28">
      <c r="A25" s="111"/>
      <c r="B25" s="111"/>
      <c r="C25" s="111"/>
      <c r="D25" s="111"/>
      <c r="E25" s="111"/>
      <c r="F25" s="111"/>
      <c r="G25" s="111"/>
      <c r="H25" s="111"/>
      <c r="I25" s="111"/>
      <c r="J25" s="111"/>
      <c r="K25" s="111"/>
      <c r="L25" s="111"/>
      <c r="M25" s="111"/>
      <c r="N25" s="111"/>
      <c r="O25" s="111"/>
      <c r="P25" s="111"/>
      <c r="Q25" s="139"/>
      <c r="R25" s="191"/>
      <c r="S25" s="191"/>
      <c r="T25" s="191"/>
      <c r="U25" s="192"/>
      <c r="V25" s="193"/>
      <c r="W25" s="194"/>
      <c r="X25" s="117"/>
      <c r="Y25" s="111"/>
      <c r="Z25" s="111"/>
    </row>
    <row r="26" spans="1:28">
      <c r="A26" s="111"/>
      <c r="B26" s="111"/>
      <c r="C26" s="111"/>
      <c r="D26" s="111"/>
      <c r="E26" s="111"/>
      <c r="F26" s="111"/>
      <c r="G26" s="111"/>
      <c r="H26" s="111"/>
      <c r="I26" s="111"/>
      <c r="J26" s="111"/>
      <c r="K26" s="111"/>
      <c r="L26" s="111"/>
      <c r="M26" s="111"/>
      <c r="N26" s="111"/>
      <c r="O26" s="111"/>
      <c r="P26" s="111"/>
      <c r="Q26" s="139"/>
      <c r="R26" s="191"/>
      <c r="S26" s="191"/>
      <c r="T26" s="191"/>
      <c r="U26" s="192"/>
      <c r="V26" s="193"/>
      <c r="W26" s="194"/>
      <c r="X26" s="117"/>
      <c r="Y26" s="111"/>
      <c r="Z26" s="111"/>
    </row>
    <row r="27" spans="1:28">
      <c r="A27" s="111"/>
      <c r="B27" s="111"/>
      <c r="C27" s="111"/>
      <c r="D27" s="111"/>
      <c r="E27" s="111"/>
      <c r="F27" s="111"/>
      <c r="G27" s="111"/>
      <c r="H27" s="111"/>
      <c r="I27" s="111"/>
      <c r="J27" s="111"/>
      <c r="K27" s="111"/>
      <c r="L27" s="111"/>
      <c r="M27" s="111"/>
      <c r="N27" s="111"/>
      <c r="O27" s="111"/>
      <c r="P27" s="111"/>
      <c r="Q27" s="139"/>
      <c r="R27" s="191"/>
      <c r="S27" s="191"/>
      <c r="T27" s="191"/>
      <c r="U27" s="192"/>
      <c r="V27" s="193"/>
      <c r="W27" s="194"/>
      <c r="X27" s="117"/>
      <c r="Y27" s="111"/>
      <c r="Z27" s="111"/>
    </row>
    <row r="28" spans="1:28">
      <c r="A28" s="111"/>
      <c r="B28" s="111"/>
      <c r="C28" s="111"/>
      <c r="D28" s="111"/>
      <c r="E28" s="111"/>
      <c r="F28" s="111"/>
      <c r="G28" s="111"/>
      <c r="H28" s="111"/>
      <c r="I28" s="111"/>
      <c r="J28" s="111"/>
      <c r="K28" s="111"/>
      <c r="L28" s="111"/>
      <c r="M28" s="111"/>
      <c r="N28" s="111"/>
      <c r="O28" s="111"/>
      <c r="P28" s="111"/>
      <c r="Q28" s="139"/>
      <c r="R28" s="191"/>
      <c r="S28" s="191"/>
      <c r="T28" s="191"/>
      <c r="U28" s="192"/>
      <c r="V28" s="193"/>
      <c r="W28" s="194"/>
      <c r="X28" s="117"/>
      <c r="Y28" s="111"/>
      <c r="Z28" s="111"/>
    </row>
    <row r="29" spans="1:28">
      <c r="A29" s="111"/>
      <c r="B29" s="111"/>
      <c r="C29" s="111"/>
      <c r="D29" s="111"/>
      <c r="E29" s="111"/>
      <c r="F29" s="111"/>
      <c r="G29" s="111"/>
      <c r="H29" s="111"/>
      <c r="I29" s="111"/>
      <c r="J29" s="111"/>
      <c r="K29" s="111"/>
      <c r="L29" s="111"/>
      <c r="M29" s="111"/>
      <c r="N29" s="111"/>
      <c r="O29" s="111"/>
      <c r="P29" s="111"/>
      <c r="Q29" s="139"/>
      <c r="R29" s="191"/>
      <c r="S29" s="191"/>
      <c r="T29" s="191"/>
      <c r="U29" s="192"/>
      <c r="V29" s="193"/>
      <c r="W29" s="194"/>
      <c r="X29" s="117"/>
      <c r="Y29" s="111"/>
      <c r="Z29" s="111"/>
    </row>
    <row r="30" spans="1:28">
      <c r="A30" s="111"/>
      <c r="B30" s="111"/>
      <c r="C30" s="111"/>
      <c r="D30" s="111"/>
      <c r="E30" s="111"/>
      <c r="F30" s="111"/>
      <c r="G30" s="111"/>
      <c r="H30" s="111"/>
      <c r="I30" s="111"/>
      <c r="J30" s="111"/>
      <c r="K30" s="111"/>
      <c r="L30" s="111"/>
      <c r="M30" s="111"/>
      <c r="N30" s="111"/>
      <c r="O30" s="111"/>
      <c r="P30" s="111"/>
      <c r="Q30" s="139"/>
      <c r="R30" s="191"/>
      <c r="S30" s="191"/>
      <c r="T30" s="191"/>
      <c r="U30" s="192"/>
      <c r="V30" s="193"/>
      <c r="W30" s="194"/>
      <c r="X30" s="117"/>
      <c r="Y30" s="111"/>
      <c r="Z30" s="111"/>
    </row>
    <row r="31" spans="1:28">
      <c r="A31" s="111"/>
      <c r="B31" s="111"/>
      <c r="C31" s="111"/>
      <c r="D31" s="111"/>
      <c r="E31" s="111"/>
      <c r="F31" s="111"/>
      <c r="G31" s="111"/>
      <c r="H31" s="111"/>
      <c r="I31" s="111"/>
      <c r="J31" s="111"/>
      <c r="K31" s="111"/>
      <c r="L31" s="111"/>
      <c r="M31" s="111"/>
      <c r="N31" s="111"/>
      <c r="O31" s="111"/>
      <c r="P31" s="111"/>
      <c r="Q31" s="139"/>
      <c r="R31" s="191"/>
      <c r="S31" s="191"/>
      <c r="T31" s="191"/>
      <c r="U31" s="192"/>
      <c r="V31" s="193"/>
      <c r="W31" s="194"/>
      <c r="X31" s="117"/>
      <c r="Y31" s="111"/>
      <c r="Z31" s="111"/>
    </row>
    <row r="32" spans="1:28">
      <c r="A32" s="111"/>
      <c r="B32" s="111"/>
      <c r="C32" s="111"/>
      <c r="D32" s="111"/>
      <c r="E32" s="111"/>
      <c r="F32" s="111"/>
      <c r="G32" s="111"/>
      <c r="H32" s="111"/>
      <c r="I32" s="111"/>
      <c r="J32" s="111"/>
      <c r="K32" s="111"/>
      <c r="L32" s="111"/>
      <c r="M32" s="111"/>
      <c r="N32" s="111"/>
      <c r="O32" s="111"/>
      <c r="P32" s="111"/>
      <c r="Q32" s="139"/>
      <c r="R32" s="191"/>
      <c r="S32" s="191"/>
      <c r="T32" s="191"/>
      <c r="U32" s="192"/>
      <c r="V32" s="193"/>
      <c r="W32" s="194"/>
      <c r="X32" s="117"/>
      <c r="Y32" s="111"/>
      <c r="Z32" s="111"/>
    </row>
    <row r="33" spans="1:26">
      <c r="A33" s="111"/>
      <c r="B33" s="111"/>
      <c r="C33" s="111"/>
      <c r="D33" s="111"/>
      <c r="E33" s="111"/>
      <c r="F33" s="111"/>
      <c r="G33" s="111"/>
      <c r="H33" s="111"/>
      <c r="I33" s="111"/>
      <c r="J33" s="111"/>
      <c r="K33" s="111"/>
      <c r="L33" s="111"/>
      <c r="M33" s="111"/>
      <c r="N33" s="111"/>
      <c r="O33" s="111"/>
      <c r="P33" s="111"/>
      <c r="Q33" s="139"/>
      <c r="R33" s="191"/>
      <c r="S33" s="191"/>
      <c r="T33" s="191"/>
      <c r="U33" s="192"/>
      <c r="V33" s="193"/>
      <c r="W33" s="194"/>
      <c r="X33" s="117"/>
      <c r="Y33" s="111"/>
      <c r="Z33" s="111"/>
    </row>
    <row r="34" spans="1:26">
      <c r="A34" s="111"/>
      <c r="B34" s="111"/>
      <c r="C34" s="111"/>
      <c r="D34" s="111"/>
      <c r="E34" s="111"/>
      <c r="F34" s="111"/>
      <c r="G34" s="111"/>
      <c r="H34" s="111"/>
      <c r="I34" s="111"/>
      <c r="J34" s="111"/>
      <c r="K34" s="111"/>
      <c r="L34" s="111"/>
      <c r="M34" s="111"/>
      <c r="N34" s="111"/>
      <c r="O34" s="111"/>
      <c r="P34" s="111"/>
      <c r="Q34" s="139"/>
      <c r="R34" s="191"/>
      <c r="S34" s="191"/>
      <c r="T34" s="191"/>
      <c r="U34" s="192"/>
      <c r="V34" s="193"/>
      <c r="W34" s="194"/>
      <c r="X34" s="117"/>
      <c r="Y34" s="111"/>
      <c r="Z34" s="111"/>
    </row>
    <row r="35" spans="1:26">
      <c r="A35" s="111"/>
      <c r="B35" s="111"/>
      <c r="C35" s="111"/>
      <c r="D35" s="111"/>
      <c r="E35" s="111"/>
      <c r="F35" s="111"/>
      <c r="G35" s="111"/>
      <c r="H35" s="111"/>
      <c r="I35" s="111"/>
      <c r="J35" s="111"/>
      <c r="K35" s="111"/>
      <c r="L35" s="111"/>
      <c r="M35" s="111"/>
      <c r="N35" s="111"/>
      <c r="O35" s="111"/>
      <c r="P35" s="111"/>
      <c r="Q35" s="139"/>
      <c r="R35" s="191"/>
      <c r="S35" s="191"/>
      <c r="T35" s="191"/>
      <c r="U35" s="192"/>
      <c r="V35" s="193"/>
      <c r="W35" s="194"/>
      <c r="X35" s="117"/>
      <c r="Y35" s="111"/>
      <c r="Z35" s="111"/>
    </row>
    <row r="36" spans="1:26">
      <c r="A36" s="111"/>
      <c r="B36" s="111"/>
      <c r="C36" s="111"/>
      <c r="D36" s="111"/>
      <c r="E36" s="111"/>
      <c r="F36" s="111"/>
      <c r="G36" s="111"/>
      <c r="H36" s="111"/>
      <c r="I36" s="111"/>
      <c r="J36" s="111"/>
      <c r="K36" s="111"/>
      <c r="L36" s="111"/>
      <c r="M36" s="111"/>
      <c r="N36" s="111"/>
      <c r="O36" s="111"/>
      <c r="P36" s="111"/>
      <c r="Q36" s="139"/>
      <c r="R36" s="191"/>
      <c r="S36" s="191"/>
      <c r="T36" s="191"/>
      <c r="U36" s="192"/>
      <c r="V36" s="193"/>
      <c r="W36" s="194"/>
      <c r="X36" s="117"/>
      <c r="Y36" s="111"/>
      <c r="Z36" s="111"/>
    </row>
    <row r="37" spans="1:26">
      <c r="A37" s="111"/>
      <c r="B37" s="111"/>
      <c r="C37" s="111"/>
      <c r="D37" s="111"/>
      <c r="E37" s="111"/>
      <c r="F37" s="111"/>
      <c r="G37" s="111"/>
      <c r="H37" s="111"/>
      <c r="I37" s="111"/>
      <c r="J37" s="111"/>
      <c r="K37" s="111"/>
      <c r="L37" s="111"/>
      <c r="M37" s="111"/>
      <c r="N37" s="111"/>
      <c r="O37" s="111"/>
      <c r="P37" s="111"/>
      <c r="Q37" s="139"/>
      <c r="R37" s="191"/>
      <c r="S37" s="191"/>
      <c r="T37" s="191"/>
      <c r="U37" s="192"/>
      <c r="V37" s="193"/>
      <c r="W37" s="194"/>
      <c r="X37" s="117"/>
      <c r="Y37" s="111"/>
      <c r="Z37" s="111"/>
    </row>
    <row r="38" spans="1:26">
      <c r="A38" s="111"/>
      <c r="B38" s="111"/>
      <c r="C38" s="111"/>
      <c r="D38" s="111"/>
      <c r="E38" s="111"/>
      <c r="F38" s="111"/>
      <c r="G38" s="111"/>
      <c r="H38" s="111"/>
      <c r="I38" s="111"/>
      <c r="J38" s="111"/>
      <c r="K38" s="111"/>
      <c r="L38" s="111"/>
      <c r="M38" s="111"/>
      <c r="N38" s="111"/>
      <c r="O38" s="111"/>
      <c r="P38" s="111"/>
      <c r="Q38" s="139"/>
      <c r="R38" s="191"/>
      <c r="S38" s="191"/>
      <c r="T38" s="191"/>
      <c r="U38" s="192"/>
      <c r="V38" s="193"/>
      <c r="W38" s="194"/>
      <c r="X38" s="117"/>
      <c r="Y38" s="111"/>
      <c r="Z38" s="111"/>
    </row>
    <row r="39" spans="1:26">
      <c r="A39" s="111"/>
      <c r="B39" s="111"/>
      <c r="C39" s="111"/>
      <c r="D39" s="111"/>
      <c r="E39" s="111"/>
      <c r="F39" s="111"/>
      <c r="G39" s="111"/>
      <c r="H39" s="111"/>
      <c r="I39" s="111"/>
      <c r="J39" s="111"/>
      <c r="K39" s="111"/>
      <c r="L39" s="111"/>
      <c r="M39" s="111"/>
      <c r="N39" s="111"/>
      <c r="O39" s="111"/>
      <c r="P39" s="111"/>
      <c r="Q39" s="139"/>
      <c r="R39" s="191"/>
      <c r="S39" s="191"/>
      <c r="T39" s="191"/>
      <c r="U39" s="192"/>
      <c r="V39" s="193"/>
      <c r="W39" s="194"/>
      <c r="X39" s="117"/>
      <c r="Y39" s="111"/>
      <c r="Z39" s="111"/>
    </row>
    <row r="40" spans="1:26">
      <c r="A40" s="111"/>
      <c r="B40" s="111"/>
      <c r="C40" s="111"/>
      <c r="D40" s="111"/>
      <c r="E40" s="111"/>
      <c r="F40" s="111"/>
      <c r="G40" s="111"/>
      <c r="H40" s="111"/>
      <c r="I40" s="111"/>
      <c r="J40" s="111"/>
      <c r="K40" s="111"/>
      <c r="L40" s="111"/>
      <c r="M40" s="111"/>
      <c r="N40" s="111"/>
      <c r="O40" s="111"/>
      <c r="P40" s="111"/>
      <c r="Q40" s="139"/>
      <c r="R40" s="191"/>
      <c r="S40" s="191"/>
      <c r="T40" s="191"/>
      <c r="U40" s="192"/>
      <c r="V40" s="193"/>
      <c r="W40" s="194"/>
      <c r="X40" s="117"/>
      <c r="Y40" s="111"/>
      <c r="Z40" s="111"/>
    </row>
    <row r="41" spans="1:26">
      <c r="A41" s="111"/>
      <c r="B41" s="111"/>
      <c r="C41" s="111"/>
      <c r="D41" s="111"/>
      <c r="E41" s="111"/>
      <c r="F41" s="111"/>
      <c r="G41" s="111"/>
      <c r="H41" s="111"/>
      <c r="I41" s="111"/>
      <c r="J41" s="111"/>
      <c r="K41" s="111"/>
      <c r="L41" s="111"/>
      <c r="M41" s="111"/>
      <c r="N41" s="111"/>
      <c r="O41" s="111"/>
      <c r="P41" s="111"/>
      <c r="Q41" s="139"/>
      <c r="R41" s="191"/>
      <c r="S41" s="191"/>
      <c r="T41" s="191"/>
      <c r="U41" s="192"/>
      <c r="V41" s="193"/>
      <c r="W41" s="194"/>
      <c r="X41" s="117"/>
      <c r="Y41" s="111"/>
      <c r="Z41" s="111"/>
    </row>
    <row r="42" spans="1:26">
      <c r="A42" s="111"/>
      <c r="B42" s="111"/>
      <c r="C42" s="111"/>
      <c r="D42" s="111"/>
      <c r="E42" s="111"/>
      <c r="F42" s="111"/>
      <c r="G42" s="111"/>
      <c r="H42" s="111"/>
      <c r="I42" s="111"/>
      <c r="J42" s="111"/>
      <c r="K42" s="111"/>
      <c r="L42" s="111"/>
      <c r="M42" s="111"/>
      <c r="N42" s="111"/>
      <c r="O42" s="111"/>
      <c r="P42" s="111"/>
      <c r="Q42" s="139"/>
      <c r="R42" s="191"/>
      <c r="S42" s="191"/>
      <c r="T42" s="191"/>
      <c r="U42" s="192"/>
      <c r="V42" s="193"/>
      <c r="W42" s="194"/>
      <c r="X42" s="117"/>
      <c r="Y42" s="111"/>
      <c r="Z42" s="111"/>
    </row>
    <row r="43" spans="1:26">
      <c r="A43" s="111"/>
      <c r="B43" s="111"/>
      <c r="C43" s="111"/>
      <c r="D43" s="111"/>
      <c r="E43" s="111"/>
      <c r="F43" s="111"/>
      <c r="G43" s="111"/>
      <c r="H43" s="111"/>
      <c r="I43" s="111"/>
      <c r="J43" s="111"/>
      <c r="K43" s="111"/>
      <c r="L43" s="111"/>
      <c r="M43" s="111"/>
      <c r="N43" s="111"/>
      <c r="O43" s="111"/>
      <c r="P43" s="111"/>
      <c r="Q43" s="139"/>
      <c r="R43" s="191"/>
      <c r="S43" s="191"/>
      <c r="T43" s="191"/>
      <c r="U43" s="192"/>
      <c r="V43" s="193"/>
      <c r="W43" s="194"/>
      <c r="X43" s="117"/>
      <c r="Y43" s="111"/>
      <c r="Z43" s="111"/>
    </row>
    <row r="44" spans="1:26">
      <c r="A44" s="111"/>
      <c r="B44" s="111"/>
      <c r="C44" s="111"/>
      <c r="D44" s="111"/>
      <c r="E44" s="111"/>
      <c r="F44" s="111"/>
      <c r="G44" s="111"/>
      <c r="H44" s="111"/>
      <c r="I44" s="111"/>
      <c r="J44" s="111"/>
      <c r="K44" s="111"/>
      <c r="L44" s="111"/>
      <c r="M44" s="111"/>
      <c r="N44" s="111"/>
      <c r="O44" s="111"/>
      <c r="P44" s="111"/>
      <c r="Q44" s="139"/>
      <c r="R44" s="191"/>
      <c r="S44" s="191"/>
      <c r="T44" s="191"/>
      <c r="U44" s="192"/>
      <c r="V44" s="193"/>
      <c r="W44" s="194"/>
      <c r="X44" s="117"/>
      <c r="Y44" s="111"/>
      <c r="Z44" s="111"/>
    </row>
    <row r="45" spans="1:26">
      <c r="A45" s="111"/>
      <c r="B45" s="111"/>
      <c r="C45" s="111"/>
      <c r="D45" s="111"/>
      <c r="E45" s="111"/>
      <c r="F45" s="111"/>
      <c r="G45" s="111"/>
      <c r="H45" s="111"/>
      <c r="I45" s="111"/>
      <c r="J45" s="111"/>
      <c r="K45" s="111"/>
      <c r="L45" s="111"/>
      <c r="M45" s="111"/>
      <c r="N45" s="111"/>
      <c r="O45" s="111"/>
      <c r="P45" s="111"/>
      <c r="Q45" s="139"/>
      <c r="R45" s="191"/>
      <c r="S45" s="191"/>
      <c r="T45" s="191"/>
      <c r="U45" s="192"/>
      <c r="V45" s="193"/>
      <c r="W45" s="194"/>
      <c r="X45" s="117"/>
      <c r="Y45" s="111"/>
      <c r="Z45" s="111"/>
    </row>
    <row r="46" spans="1:26">
      <c r="A46" s="111"/>
      <c r="B46" s="111"/>
      <c r="C46" s="111"/>
      <c r="D46" s="111"/>
      <c r="E46" s="111"/>
      <c r="F46" s="111"/>
      <c r="G46" s="111"/>
      <c r="H46" s="111"/>
      <c r="I46" s="111"/>
      <c r="J46" s="111"/>
      <c r="K46" s="111"/>
      <c r="L46" s="111"/>
      <c r="M46" s="111"/>
      <c r="N46" s="111"/>
      <c r="O46" s="111"/>
      <c r="P46" s="111"/>
      <c r="Q46" s="139"/>
      <c r="R46" s="191"/>
      <c r="S46" s="191"/>
      <c r="T46" s="191"/>
      <c r="U46" s="192"/>
      <c r="V46" s="193"/>
      <c r="W46" s="194"/>
      <c r="X46" s="117"/>
      <c r="Y46" s="111"/>
      <c r="Z46" s="111"/>
    </row>
    <row r="47" spans="1:26">
      <c r="A47" s="111"/>
      <c r="B47" s="111"/>
      <c r="C47" s="111"/>
      <c r="D47" s="111"/>
      <c r="E47" s="111"/>
      <c r="F47" s="111"/>
      <c r="G47" s="111"/>
      <c r="H47" s="111"/>
      <c r="I47" s="111"/>
      <c r="J47" s="111"/>
      <c r="K47" s="111"/>
      <c r="L47" s="111"/>
      <c r="M47" s="111"/>
      <c r="N47" s="111"/>
      <c r="O47" s="111"/>
      <c r="P47" s="111"/>
      <c r="Q47" s="139"/>
      <c r="R47" s="191"/>
      <c r="S47" s="191"/>
      <c r="T47" s="191"/>
      <c r="U47" s="192"/>
      <c r="V47" s="193"/>
      <c r="W47" s="194"/>
      <c r="X47" s="117"/>
      <c r="Y47" s="111"/>
      <c r="Z47" s="111"/>
    </row>
    <row r="48" spans="1:26">
      <c r="A48" s="111"/>
      <c r="B48" s="111"/>
      <c r="C48" s="111"/>
      <c r="D48" s="111"/>
      <c r="E48" s="111"/>
      <c r="F48" s="111"/>
      <c r="G48" s="111"/>
      <c r="H48" s="111"/>
      <c r="I48" s="111"/>
      <c r="J48" s="111"/>
      <c r="K48" s="111"/>
      <c r="L48" s="111"/>
      <c r="M48" s="111"/>
      <c r="N48" s="111"/>
      <c r="O48" s="111"/>
      <c r="P48" s="111"/>
      <c r="Q48" s="139"/>
      <c r="R48" s="191"/>
      <c r="S48" s="191"/>
      <c r="T48" s="191"/>
      <c r="U48" s="192"/>
      <c r="V48" s="193"/>
      <c r="W48" s="194"/>
      <c r="X48" s="117"/>
      <c r="Y48" s="111"/>
      <c r="Z48" s="111"/>
    </row>
    <row r="49" spans="1:26">
      <c r="A49" s="111"/>
      <c r="B49" s="111"/>
      <c r="C49" s="111"/>
      <c r="D49" s="111"/>
      <c r="E49" s="111"/>
      <c r="F49" s="111"/>
      <c r="G49" s="111"/>
      <c r="H49" s="111"/>
      <c r="I49" s="111"/>
      <c r="J49" s="111"/>
      <c r="K49" s="111"/>
      <c r="L49" s="111"/>
      <c r="M49" s="111"/>
      <c r="N49" s="111"/>
      <c r="O49" s="111"/>
      <c r="P49" s="111"/>
      <c r="Q49" s="139"/>
      <c r="R49" s="191"/>
      <c r="S49" s="191"/>
      <c r="T49" s="191"/>
      <c r="U49" s="192"/>
      <c r="V49" s="193"/>
      <c r="W49" s="194"/>
      <c r="X49" s="117"/>
      <c r="Y49" s="111"/>
      <c r="Z49" s="111"/>
    </row>
    <row r="50" spans="1:26">
      <c r="A50" s="111"/>
      <c r="B50" s="111"/>
      <c r="C50" s="111"/>
      <c r="D50" s="111"/>
      <c r="E50" s="111"/>
      <c r="F50" s="111"/>
      <c r="G50" s="111"/>
      <c r="H50" s="111"/>
      <c r="I50" s="111"/>
      <c r="J50" s="111"/>
      <c r="K50" s="111"/>
      <c r="L50" s="111"/>
      <c r="M50" s="111"/>
      <c r="N50" s="111"/>
      <c r="O50" s="111"/>
      <c r="P50" s="111"/>
      <c r="Q50" s="139"/>
      <c r="R50" s="191"/>
      <c r="S50" s="191"/>
      <c r="T50" s="191"/>
      <c r="U50" s="192"/>
      <c r="V50" s="193"/>
      <c r="W50" s="194"/>
      <c r="X50" s="117"/>
      <c r="Y50" s="111"/>
      <c r="Z50" s="111"/>
    </row>
    <row r="51" spans="1:26">
      <c r="A51" s="111"/>
      <c r="B51" s="111"/>
      <c r="C51" s="111"/>
      <c r="D51" s="111"/>
      <c r="E51" s="111"/>
      <c r="F51" s="111"/>
      <c r="G51" s="111"/>
      <c r="H51" s="111"/>
      <c r="I51" s="111"/>
      <c r="J51" s="111"/>
      <c r="K51" s="111"/>
      <c r="L51" s="111"/>
      <c r="M51" s="111"/>
      <c r="N51" s="111"/>
      <c r="O51" s="111"/>
      <c r="P51" s="111"/>
      <c r="Q51" s="139"/>
      <c r="R51" s="191"/>
      <c r="S51" s="191"/>
      <c r="T51" s="191"/>
      <c r="U51" s="192"/>
      <c r="V51" s="193"/>
      <c r="W51" s="194"/>
      <c r="X51" s="117"/>
      <c r="Y51" s="111"/>
      <c r="Z51" s="111"/>
    </row>
    <row r="52" spans="1:26">
      <c r="A52" s="111"/>
      <c r="B52" s="111"/>
      <c r="C52" s="111"/>
      <c r="D52" s="111"/>
      <c r="E52" s="111"/>
      <c r="F52" s="111"/>
      <c r="G52" s="111"/>
      <c r="H52" s="111"/>
      <c r="I52" s="111"/>
      <c r="J52" s="111"/>
      <c r="K52" s="111"/>
      <c r="L52" s="111"/>
      <c r="M52" s="111"/>
      <c r="N52" s="111"/>
      <c r="O52" s="111"/>
      <c r="P52" s="111"/>
      <c r="Q52" s="139"/>
      <c r="R52" s="191"/>
      <c r="S52" s="191"/>
      <c r="T52" s="191"/>
      <c r="U52" s="192"/>
      <c r="V52" s="193"/>
      <c r="W52" s="194"/>
      <c r="X52" s="117"/>
      <c r="Y52" s="111"/>
      <c r="Z52" s="111"/>
    </row>
    <row r="53" spans="1:26">
      <c r="A53" s="111"/>
      <c r="B53" s="111"/>
      <c r="C53" s="111"/>
      <c r="D53" s="111"/>
      <c r="E53" s="111"/>
      <c r="F53" s="111"/>
      <c r="G53" s="111"/>
      <c r="H53" s="111"/>
      <c r="I53" s="111"/>
      <c r="J53" s="111"/>
      <c r="K53" s="111"/>
      <c r="L53" s="111"/>
      <c r="M53" s="111"/>
      <c r="N53" s="111"/>
      <c r="O53" s="111"/>
      <c r="P53" s="111"/>
      <c r="Q53" s="139"/>
      <c r="R53" s="191"/>
      <c r="S53" s="191"/>
      <c r="T53" s="191"/>
      <c r="U53" s="192"/>
      <c r="V53" s="193"/>
      <c r="W53" s="194"/>
      <c r="X53" s="117"/>
      <c r="Y53" s="111"/>
      <c r="Z53" s="111"/>
    </row>
    <row r="54" spans="1:26">
      <c r="A54" s="111"/>
      <c r="B54" s="111"/>
      <c r="C54" s="111"/>
      <c r="D54" s="111"/>
      <c r="E54" s="111"/>
      <c r="F54" s="111"/>
      <c r="G54" s="111"/>
      <c r="H54" s="111"/>
      <c r="I54" s="111"/>
      <c r="J54" s="111"/>
      <c r="K54" s="111"/>
      <c r="L54" s="111"/>
      <c r="M54" s="111"/>
      <c r="N54" s="111"/>
      <c r="O54" s="111"/>
      <c r="P54" s="111"/>
      <c r="Q54" s="139"/>
      <c r="R54" s="191"/>
      <c r="S54" s="191"/>
      <c r="T54" s="191"/>
      <c r="U54" s="192"/>
      <c r="V54" s="193"/>
      <c r="W54" s="194"/>
      <c r="X54" s="117"/>
      <c r="Y54" s="111"/>
      <c r="Z54" s="111"/>
    </row>
    <row r="55" spans="1:26">
      <c r="A55" s="111"/>
      <c r="B55" s="111"/>
      <c r="C55" s="111"/>
      <c r="D55" s="111"/>
      <c r="E55" s="111"/>
      <c r="F55" s="111"/>
      <c r="G55" s="111"/>
      <c r="H55" s="111"/>
      <c r="I55" s="111"/>
      <c r="J55" s="111"/>
      <c r="K55" s="111"/>
      <c r="L55" s="111"/>
      <c r="M55" s="111"/>
      <c r="N55" s="111"/>
      <c r="O55" s="111"/>
      <c r="P55" s="111"/>
      <c r="Q55" s="139"/>
      <c r="R55" s="191"/>
      <c r="S55" s="191"/>
      <c r="T55" s="191"/>
      <c r="U55" s="192"/>
      <c r="V55" s="193"/>
      <c r="W55" s="194"/>
      <c r="X55" s="117"/>
      <c r="Y55" s="111"/>
      <c r="Z55" s="111"/>
    </row>
    <row r="56" spans="1:26">
      <c r="A56" s="111"/>
      <c r="B56" s="111"/>
      <c r="C56" s="111"/>
      <c r="D56" s="111"/>
      <c r="E56" s="111"/>
      <c r="F56" s="111"/>
      <c r="G56" s="111"/>
      <c r="H56" s="111"/>
      <c r="I56" s="111"/>
      <c r="J56" s="111"/>
      <c r="K56" s="111"/>
      <c r="L56" s="111"/>
      <c r="M56" s="111"/>
      <c r="N56" s="111"/>
      <c r="O56" s="111"/>
      <c r="P56" s="111"/>
      <c r="Q56" s="139"/>
      <c r="R56" s="191"/>
      <c r="S56" s="191"/>
      <c r="T56" s="191"/>
      <c r="U56" s="192"/>
      <c r="V56" s="193"/>
      <c r="W56" s="194"/>
      <c r="X56" s="117"/>
      <c r="Y56" s="111"/>
      <c r="Z56" s="111"/>
    </row>
    <row r="57" spans="1:26">
      <c r="A57" s="111"/>
      <c r="B57" s="111"/>
      <c r="C57" s="111"/>
      <c r="D57" s="111"/>
      <c r="E57" s="111"/>
      <c r="F57" s="111"/>
      <c r="G57" s="111"/>
      <c r="H57" s="111"/>
      <c r="I57" s="111"/>
      <c r="J57" s="111"/>
      <c r="K57" s="111"/>
      <c r="L57" s="111"/>
      <c r="M57" s="111"/>
      <c r="N57" s="111"/>
      <c r="O57" s="111"/>
      <c r="P57" s="111"/>
      <c r="Q57" s="139"/>
      <c r="R57" s="191"/>
      <c r="S57" s="191"/>
      <c r="T57" s="191"/>
      <c r="U57" s="192"/>
      <c r="V57" s="193"/>
      <c r="W57" s="194"/>
      <c r="X57" s="117"/>
      <c r="Y57" s="111"/>
      <c r="Z57" s="111"/>
    </row>
    <row r="58" spans="1:26">
      <c r="A58" s="111"/>
      <c r="B58" s="111"/>
      <c r="C58" s="111"/>
      <c r="D58" s="111"/>
      <c r="E58" s="111"/>
      <c r="F58" s="111"/>
      <c r="G58" s="111"/>
      <c r="H58" s="111"/>
      <c r="I58" s="111"/>
      <c r="J58" s="111"/>
      <c r="K58" s="111"/>
      <c r="L58" s="111"/>
      <c r="M58" s="111"/>
      <c r="N58" s="111"/>
      <c r="O58" s="111"/>
      <c r="P58" s="111"/>
      <c r="Q58" s="139"/>
      <c r="R58" s="191"/>
      <c r="S58" s="191"/>
      <c r="T58" s="191"/>
      <c r="U58" s="192"/>
      <c r="V58" s="193"/>
      <c r="W58" s="194"/>
      <c r="X58" s="117"/>
      <c r="Y58" s="111"/>
      <c r="Z58" s="111"/>
    </row>
    <row r="59" spans="1:26">
      <c r="A59" s="111"/>
      <c r="B59" s="111"/>
      <c r="C59" s="111"/>
      <c r="D59" s="111"/>
      <c r="E59" s="111"/>
      <c r="F59" s="111"/>
      <c r="G59" s="111"/>
      <c r="H59" s="111"/>
      <c r="I59" s="111"/>
      <c r="J59" s="111"/>
      <c r="K59" s="111"/>
      <c r="L59" s="111"/>
      <c r="M59" s="111"/>
      <c r="N59" s="111"/>
      <c r="O59" s="111"/>
      <c r="P59" s="111"/>
      <c r="Q59" s="139"/>
      <c r="R59" s="191"/>
      <c r="S59" s="191"/>
      <c r="T59" s="191"/>
      <c r="U59" s="192"/>
      <c r="V59" s="193"/>
      <c r="W59" s="194"/>
      <c r="X59" s="117"/>
      <c r="Y59" s="111"/>
      <c r="Z59" s="111"/>
    </row>
    <row r="60" spans="1:26">
      <c r="A60" s="111"/>
      <c r="B60" s="111"/>
      <c r="C60" s="111"/>
      <c r="D60" s="111"/>
      <c r="E60" s="111"/>
      <c r="F60" s="111"/>
      <c r="G60" s="111"/>
      <c r="H60" s="111"/>
      <c r="I60" s="111"/>
      <c r="J60" s="111"/>
      <c r="K60" s="111"/>
      <c r="L60" s="111"/>
      <c r="M60" s="111"/>
      <c r="N60" s="111"/>
      <c r="O60" s="111"/>
      <c r="P60" s="111"/>
      <c r="Q60" s="139"/>
      <c r="R60" s="191"/>
      <c r="S60" s="191"/>
      <c r="T60" s="191"/>
      <c r="U60" s="192"/>
      <c r="V60" s="193"/>
      <c r="W60" s="194"/>
      <c r="X60" s="117"/>
      <c r="Y60" s="111"/>
      <c r="Z60" s="111"/>
    </row>
    <row r="61" spans="1:26">
      <c r="A61" s="111"/>
      <c r="B61" s="111"/>
      <c r="C61" s="111"/>
      <c r="D61" s="111"/>
      <c r="E61" s="111"/>
      <c r="F61" s="111"/>
      <c r="G61" s="111"/>
      <c r="H61" s="111"/>
      <c r="I61" s="111"/>
      <c r="J61" s="111"/>
      <c r="K61" s="111"/>
      <c r="L61" s="111"/>
      <c r="M61" s="111"/>
      <c r="N61" s="111"/>
      <c r="O61" s="111"/>
      <c r="P61" s="111"/>
      <c r="Q61" s="139"/>
      <c r="R61" s="191"/>
      <c r="S61" s="191"/>
      <c r="T61" s="191"/>
      <c r="U61" s="192"/>
      <c r="V61" s="193"/>
      <c r="W61" s="194"/>
      <c r="X61" s="117"/>
      <c r="Y61" s="111"/>
      <c r="Z61" s="111"/>
    </row>
    <row r="62" spans="1:26">
      <c r="A62" s="111"/>
      <c r="B62" s="111"/>
      <c r="C62" s="111"/>
      <c r="D62" s="111"/>
      <c r="E62" s="111"/>
      <c r="F62" s="111"/>
      <c r="G62" s="111"/>
      <c r="H62" s="111"/>
      <c r="I62" s="111"/>
      <c r="J62" s="111"/>
      <c r="K62" s="111"/>
      <c r="L62" s="111"/>
      <c r="M62" s="111"/>
      <c r="N62" s="111"/>
      <c r="O62" s="111"/>
      <c r="P62" s="111"/>
      <c r="Q62" s="139"/>
      <c r="R62" s="191"/>
      <c r="S62" s="191"/>
      <c r="T62" s="191"/>
      <c r="U62" s="192"/>
      <c r="V62" s="193"/>
      <c r="W62" s="194"/>
      <c r="X62" s="117"/>
      <c r="Y62" s="111"/>
      <c r="Z62" s="111"/>
    </row>
    <row r="63" spans="1:26">
      <c r="A63" s="111"/>
      <c r="B63" s="111"/>
      <c r="C63" s="111"/>
      <c r="D63" s="111"/>
      <c r="E63" s="111"/>
      <c r="F63" s="111"/>
      <c r="G63" s="111"/>
      <c r="H63" s="111"/>
      <c r="I63" s="111"/>
      <c r="J63" s="111"/>
      <c r="K63" s="111"/>
      <c r="L63" s="111"/>
      <c r="M63" s="111"/>
      <c r="N63" s="111"/>
      <c r="O63" s="111"/>
      <c r="P63" s="111"/>
      <c r="Q63" s="139"/>
      <c r="R63" s="191"/>
      <c r="S63" s="191"/>
      <c r="T63" s="191"/>
      <c r="U63" s="192"/>
      <c r="V63" s="193"/>
      <c r="W63" s="194"/>
      <c r="X63" s="117"/>
      <c r="Y63" s="111"/>
      <c r="Z63" s="111"/>
    </row>
    <row r="64" spans="1:26">
      <c r="A64" s="111"/>
      <c r="B64" s="111"/>
      <c r="C64" s="111"/>
      <c r="D64" s="111"/>
      <c r="E64" s="111"/>
      <c r="F64" s="111"/>
      <c r="G64" s="111"/>
      <c r="H64" s="111"/>
      <c r="I64" s="111"/>
      <c r="J64" s="111"/>
      <c r="K64" s="111"/>
      <c r="L64" s="111"/>
      <c r="M64" s="111"/>
      <c r="N64" s="111"/>
      <c r="O64" s="111"/>
      <c r="P64" s="111"/>
      <c r="Q64" s="139"/>
      <c r="R64" s="191"/>
      <c r="S64" s="191"/>
      <c r="T64" s="191"/>
      <c r="U64" s="192"/>
      <c r="V64" s="193"/>
      <c r="W64" s="194"/>
      <c r="X64" s="117"/>
      <c r="Y64" s="111"/>
      <c r="Z64" s="111"/>
    </row>
    <row r="65" spans="1:26">
      <c r="A65" s="111"/>
      <c r="B65" s="111"/>
      <c r="C65" s="111"/>
      <c r="D65" s="111"/>
      <c r="E65" s="111"/>
      <c r="F65" s="111"/>
      <c r="G65" s="111"/>
      <c r="H65" s="111"/>
      <c r="I65" s="111"/>
      <c r="J65" s="111"/>
      <c r="K65" s="111"/>
      <c r="L65" s="111"/>
      <c r="M65" s="111"/>
      <c r="N65" s="111"/>
      <c r="O65" s="111"/>
      <c r="P65" s="111"/>
      <c r="Q65" s="139"/>
      <c r="R65" s="191"/>
      <c r="S65" s="191"/>
      <c r="T65" s="191"/>
      <c r="U65" s="192"/>
      <c r="V65" s="193"/>
      <c r="W65" s="194"/>
      <c r="X65" s="117"/>
      <c r="Y65" s="111"/>
      <c r="Z65" s="111"/>
    </row>
    <row r="66" spans="1:26">
      <c r="A66" s="111"/>
      <c r="B66" s="111"/>
      <c r="C66" s="111"/>
      <c r="D66" s="111"/>
      <c r="E66" s="111"/>
      <c r="F66" s="111"/>
      <c r="G66" s="111"/>
      <c r="H66" s="111"/>
      <c r="I66" s="111"/>
      <c r="J66" s="111"/>
      <c r="K66" s="111"/>
      <c r="L66" s="111"/>
      <c r="M66" s="111"/>
      <c r="N66" s="111"/>
      <c r="O66" s="111"/>
      <c r="P66" s="111"/>
      <c r="Q66" s="139"/>
      <c r="R66" s="191"/>
      <c r="S66" s="191"/>
      <c r="T66" s="191"/>
      <c r="U66" s="192"/>
      <c r="V66" s="193"/>
      <c r="W66" s="194"/>
      <c r="X66" s="117"/>
      <c r="Y66" s="111"/>
      <c r="Z66" s="111"/>
    </row>
    <row r="67" spans="1:26">
      <c r="A67" s="111"/>
      <c r="B67" s="111"/>
      <c r="C67" s="111"/>
      <c r="D67" s="111"/>
      <c r="E67" s="111"/>
      <c r="F67" s="111"/>
      <c r="G67" s="111"/>
      <c r="H67" s="111"/>
      <c r="I67" s="111"/>
      <c r="J67" s="111"/>
      <c r="K67" s="111"/>
      <c r="L67" s="111"/>
      <c r="M67" s="111"/>
      <c r="N67" s="111"/>
      <c r="O67" s="111"/>
      <c r="P67" s="111"/>
      <c r="Q67" s="139"/>
      <c r="R67" s="191"/>
      <c r="S67" s="191"/>
      <c r="T67" s="191"/>
      <c r="U67" s="192"/>
      <c r="V67" s="193"/>
      <c r="W67" s="194"/>
      <c r="X67" s="117"/>
      <c r="Y67" s="111"/>
      <c r="Z67" s="111"/>
    </row>
    <row r="68" spans="1:26">
      <c r="A68" s="111"/>
      <c r="B68" s="111"/>
      <c r="C68" s="111"/>
      <c r="D68" s="111"/>
      <c r="E68" s="111"/>
      <c r="F68" s="111"/>
      <c r="G68" s="111"/>
      <c r="H68" s="111"/>
      <c r="I68" s="111"/>
      <c r="J68" s="111"/>
      <c r="K68" s="111"/>
      <c r="L68" s="111"/>
      <c r="M68" s="111"/>
      <c r="N68" s="111"/>
      <c r="O68" s="111"/>
      <c r="P68" s="111"/>
      <c r="Q68" s="139"/>
      <c r="R68" s="191"/>
      <c r="S68" s="191"/>
      <c r="T68" s="191"/>
      <c r="U68" s="192"/>
      <c r="V68" s="193"/>
      <c r="W68" s="194"/>
      <c r="X68" s="117"/>
      <c r="Y68" s="111"/>
      <c r="Z68" s="111"/>
    </row>
    <row r="69" spans="1:26">
      <c r="A69" s="111"/>
      <c r="B69" s="111"/>
      <c r="C69" s="111"/>
      <c r="D69" s="111"/>
      <c r="E69" s="111"/>
      <c r="F69" s="111"/>
      <c r="G69" s="111"/>
      <c r="H69" s="111"/>
      <c r="I69" s="111"/>
      <c r="J69" s="111"/>
      <c r="K69" s="111"/>
      <c r="L69" s="111"/>
      <c r="M69" s="111"/>
      <c r="N69" s="111"/>
      <c r="O69" s="111"/>
      <c r="P69" s="111"/>
      <c r="Q69" s="139"/>
      <c r="R69" s="191"/>
      <c r="S69" s="191"/>
      <c r="T69" s="191"/>
      <c r="U69" s="192"/>
      <c r="V69" s="193"/>
      <c r="W69" s="194"/>
      <c r="X69" s="117"/>
      <c r="Y69" s="111"/>
      <c r="Z69" s="111"/>
    </row>
    <row r="70" spans="1:26">
      <c r="A70" s="111"/>
      <c r="B70" s="111"/>
      <c r="C70" s="111"/>
      <c r="D70" s="111"/>
      <c r="E70" s="111"/>
      <c r="F70" s="111"/>
      <c r="G70" s="111"/>
      <c r="H70" s="111"/>
      <c r="I70" s="111"/>
      <c r="J70" s="111"/>
      <c r="K70" s="111"/>
      <c r="L70" s="111"/>
      <c r="M70" s="111"/>
      <c r="N70" s="111"/>
      <c r="O70" s="111"/>
      <c r="P70" s="111"/>
      <c r="Q70" s="139"/>
      <c r="R70" s="191"/>
      <c r="S70" s="191"/>
      <c r="T70" s="191"/>
      <c r="U70" s="192"/>
      <c r="V70" s="193"/>
      <c r="W70" s="194"/>
      <c r="X70" s="117"/>
      <c r="Y70" s="111"/>
      <c r="Z70" s="111"/>
    </row>
    <row r="71" spans="1:26">
      <c r="A71" s="111"/>
      <c r="B71" s="111"/>
      <c r="C71" s="111"/>
      <c r="D71" s="111"/>
      <c r="E71" s="111"/>
      <c r="F71" s="111"/>
      <c r="G71" s="111"/>
      <c r="H71" s="111"/>
      <c r="I71" s="111"/>
      <c r="J71" s="111"/>
      <c r="K71" s="111"/>
      <c r="L71" s="111"/>
      <c r="M71" s="111"/>
      <c r="N71" s="111"/>
      <c r="O71" s="111"/>
      <c r="P71" s="111"/>
      <c r="Q71" s="139"/>
      <c r="R71" s="191"/>
      <c r="S71" s="191"/>
      <c r="T71" s="191"/>
      <c r="U71" s="192"/>
      <c r="V71" s="193"/>
      <c r="W71" s="194"/>
      <c r="X71" s="117"/>
      <c r="Y71" s="111"/>
      <c r="Z71" s="111"/>
    </row>
    <row r="72" spans="1:26">
      <c r="A72" s="111"/>
      <c r="B72" s="111"/>
      <c r="C72" s="111"/>
      <c r="D72" s="111"/>
      <c r="E72" s="111"/>
      <c r="F72" s="111"/>
      <c r="G72" s="111"/>
      <c r="H72" s="111"/>
      <c r="I72" s="111"/>
      <c r="J72" s="111"/>
      <c r="K72" s="111"/>
      <c r="L72" s="111"/>
      <c r="M72" s="111"/>
      <c r="N72" s="111"/>
      <c r="O72" s="111"/>
      <c r="P72" s="111"/>
      <c r="Q72" s="139"/>
      <c r="R72" s="191"/>
      <c r="S72" s="191"/>
      <c r="T72" s="191"/>
      <c r="U72" s="192"/>
      <c r="V72" s="193"/>
      <c r="W72" s="194"/>
      <c r="X72" s="117"/>
      <c r="Y72" s="111"/>
      <c r="Z72" s="111"/>
    </row>
    <row r="73" spans="1:26">
      <c r="A73" s="111"/>
      <c r="B73" s="111"/>
      <c r="C73" s="111"/>
      <c r="D73" s="111"/>
      <c r="E73" s="111"/>
      <c r="F73" s="111"/>
      <c r="G73" s="111"/>
      <c r="H73" s="111"/>
      <c r="I73" s="111"/>
      <c r="J73" s="111"/>
      <c r="K73" s="111"/>
      <c r="L73" s="111"/>
      <c r="M73" s="111"/>
      <c r="N73" s="111"/>
      <c r="O73" s="111"/>
      <c r="P73" s="111"/>
      <c r="Q73" s="139"/>
      <c r="R73" s="191"/>
      <c r="S73" s="191"/>
      <c r="T73" s="191"/>
      <c r="U73" s="192"/>
      <c r="V73" s="193"/>
      <c r="W73" s="194"/>
      <c r="X73" s="117"/>
      <c r="Y73" s="111"/>
      <c r="Z73" s="111"/>
    </row>
    <row r="74" spans="1:26">
      <c r="A74" s="111"/>
      <c r="B74" s="111"/>
      <c r="C74" s="111"/>
      <c r="D74" s="111"/>
      <c r="E74" s="111"/>
      <c r="F74" s="111"/>
      <c r="G74" s="111"/>
      <c r="H74" s="111"/>
      <c r="I74" s="111"/>
      <c r="J74" s="111"/>
      <c r="K74" s="111"/>
      <c r="L74" s="111"/>
      <c r="M74" s="111"/>
      <c r="N74" s="111"/>
      <c r="O74" s="111"/>
      <c r="P74" s="111"/>
      <c r="Q74" s="139"/>
      <c r="R74" s="191"/>
      <c r="S74" s="191"/>
      <c r="T74" s="191"/>
      <c r="U74" s="192"/>
      <c r="V74" s="193"/>
      <c r="W74" s="194"/>
      <c r="X74" s="117"/>
      <c r="Y74" s="111"/>
      <c r="Z74" s="111"/>
    </row>
    <row r="75" spans="1:26">
      <c r="A75" s="111"/>
      <c r="B75" s="111"/>
      <c r="C75" s="111"/>
      <c r="D75" s="111"/>
      <c r="E75" s="111"/>
      <c r="F75" s="111"/>
      <c r="G75" s="111"/>
      <c r="H75" s="111"/>
      <c r="I75" s="111"/>
      <c r="J75" s="111"/>
      <c r="K75" s="111"/>
      <c r="L75" s="111"/>
      <c r="M75" s="111"/>
      <c r="N75" s="111"/>
      <c r="O75" s="111"/>
      <c r="P75" s="111"/>
      <c r="Q75" s="139"/>
      <c r="R75" s="191"/>
      <c r="S75" s="191"/>
      <c r="T75" s="191"/>
      <c r="U75" s="192"/>
      <c r="V75" s="193"/>
      <c r="W75" s="194"/>
      <c r="X75" s="117"/>
      <c r="Y75" s="111"/>
      <c r="Z75" s="111"/>
    </row>
    <row r="76" spans="1:26">
      <c r="A76" s="111"/>
      <c r="B76" s="111"/>
      <c r="C76" s="111"/>
      <c r="D76" s="111"/>
      <c r="E76" s="111"/>
      <c r="F76" s="111"/>
      <c r="G76" s="111"/>
      <c r="H76" s="111"/>
      <c r="I76" s="111"/>
      <c r="J76" s="111"/>
      <c r="K76" s="111"/>
      <c r="L76" s="111"/>
      <c r="M76" s="111"/>
      <c r="N76" s="111"/>
      <c r="O76" s="111"/>
      <c r="P76" s="111"/>
      <c r="Q76" s="139"/>
      <c r="R76" s="191"/>
      <c r="S76" s="191"/>
      <c r="T76" s="191"/>
      <c r="U76" s="192"/>
      <c r="V76" s="193"/>
      <c r="W76" s="194"/>
      <c r="X76" s="117"/>
      <c r="Y76" s="111"/>
      <c r="Z76" s="111"/>
    </row>
    <row r="77" spans="1:26">
      <c r="A77" s="111"/>
      <c r="B77" s="111"/>
      <c r="C77" s="111"/>
      <c r="D77" s="111"/>
      <c r="E77" s="111"/>
      <c r="F77" s="111"/>
      <c r="G77" s="111"/>
      <c r="H77" s="111"/>
      <c r="I77" s="111"/>
      <c r="J77" s="111"/>
      <c r="K77" s="111"/>
      <c r="L77" s="111"/>
      <c r="M77" s="111"/>
      <c r="N77" s="111"/>
      <c r="O77" s="111"/>
      <c r="P77" s="111"/>
      <c r="Q77" s="139"/>
      <c r="R77" s="191"/>
      <c r="S77" s="191"/>
      <c r="T77" s="191"/>
      <c r="U77" s="192"/>
      <c r="V77" s="193"/>
      <c r="W77" s="194"/>
      <c r="X77" s="117"/>
      <c r="Y77" s="111"/>
      <c r="Z77" s="111"/>
    </row>
    <row r="78" spans="1:26">
      <c r="A78" s="111"/>
      <c r="B78" s="111"/>
      <c r="C78" s="111"/>
      <c r="D78" s="111"/>
      <c r="E78" s="111"/>
      <c r="F78" s="111"/>
      <c r="G78" s="111"/>
      <c r="H78" s="111"/>
      <c r="I78" s="111"/>
      <c r="J78" s="111"/>
      <c r="K78" s="111"/>
      <c r="L78" s="111"/>
      <c r="M78" s="111"/>
      <c r="N78" s="111"/>
      <c r="O78" s="111"/>
      <c r="P78" s="111"/>
      <c r="Q78" s="139"/>
      <c r="R78" s="191"/>
      <c r="S78" s="191"/>
      <c r="T78" s="191"/>
      <c r="U78" s="192"/>
      <c r="V78" s="193"/>
      <c r="W78" s="194"/>
      <c r="X78" s="117"/>
      <c r="Y78" s="111"/>
      <c r="Z78" s="111"/>
    </row>
    <row r="79" spans="1:26">
      <c r="A79" s="111"/>
      <c r="B79" s="111"/>
      <c r="C79" s="111"/>
      <c r="D79" s="111"/>
      <c r="E79" s="111"/>
      <c r="F79" s="111"/>
      <c r="G79" s="111"/>
      <c r="H79" s="111"/>
      <c r="I79" s="111"/>
      <c r="J79" s="111"/>
      <c r="K79" s="111"/>
      <c r="L79" s="111"/>
      <c r="M79" s="111"/>
      <c r="N79" s="111"/>
      <c r="O79" s="111"/>
      <c r="P79" s="111"/>
      <c r="Q79" s="139"/>
      <c r="R79" s="191"/>
      <c r="S79" s="191"/>
      <c r="T79" s="191"/>
      <c r="U79" s="192"/>
      <c r="V79" s="193"/>
      <c r="W79" s="194"/>
      <c r="X79" s="117"/>
      <c r="Y79" s="111"/>
      <c r="Z79" s="111"/>
    </row>
    <row r="80" spans="1:26">
      <c r="A80" s="111"/>
      <c r="B80" s="111"/>
      <c r="C80" s="111"/>
      <c r="D80" s="111"/>
      <c r="E80" s="111"/>
      <c r="F80" s="111"/>
      <c r="G80" s="111"/>
      <c r="H80" s="111"/>
      <c r="I80" s="111"/>
      <c r="J80" s="111"/>
      <c r="K80" s="111"/>
      <c r="L80" s="111"/>
      <c r="M80" s="111"/>
      <c r="N80" s="111"/>
      <c r="O80" s="111"/>
      <c r="P80" s="111"/>
      <c r="Q80" s="139"/>
      <c r="R80" s="191"/>
      <c r="S80" s="191"/>
      <c r="T80" s="191"/>
      <c r="U80" s="192"/>
      <c r="V80" s="193"/>
      <c r="W80" s="194"/>
      <c r="X80" s="117"/>
      <c r="Y80" s="111"/>
      <c r="Z80" s="111"/>
    </row>
    <row r="81" spans="1:26">
      <c r="A81" s="111"/>
      <c r="B81" s="111"/>
      <c r="C81" s="111"/>
      <c r="D81" s="111"/>
      <c r="E81" s="111"/>
      <c r="F81" s="111"/>
      <c r="G81" s="111"/>
      <c r="H81" s="111"/>
      <c r="I81" s="111"/>
      <c r="J81" s="111"/>
      <c r="K81" s="111"/>
      <c r="L81" s="111"/>
      <c r="M81" s="111"/>
      <c r="N81" s="111"/>
      <c r="O81" s="111"/>
      <c r="P81" s="111"/>
      <c r="Q81" s="139"/>
      <c r="R81" s="191"/>
      <c r="S81" s="191"/>
      <c r="T81" s="191"/>
      <c r="U81" s="192"/>
      <c r="V81" s="193"/>
      <c r="W81" s="194"/>
      <c r="X81" s="117"/>
      <c r="Y81" s="111"/>
      <c r="Z81" s="111"/>
    </row>
    <row r="82" spans="1:26">
      <c r="A82" s="111"/>
      <c r="B82" s="111"/>
      <c r="C82" s="111"/>
      <c r="D82" s="111"/>
      <c r="E82" s="111"/>
      <c r="F82" s="111"/>
      <c r="G82" s="111"/>
      <c r="H82" s="111"/>
      <c r="I82" s="111"/>
      <c r="J82" s="111"/>
      <c r="K82" s="111"/>
      <c r="L82" s="111"/>
      <c r="M82" s="111"/>
      <c r="N82" s="111"/>
      <c r="O82" s="111"/>
      <c r="P82" s="111"/>
      <c r="Q82" s="139"/>
      <c r="R82" s="191"/>
      <c r="S82" s="191"/>
      <c r="T82" s="191"/>
      <c r="U82" s="192"/>
      <c r="V82" s="193"/>
      <c r="W82" s="194"/>
      <c r="X82" s="117"/>
      <c r="Y82" s="111"/>
      <c r="Z82" s="111"/>
    </row>
    <row r="83" spans="1:26">
      <c r="A83" s="111"/>
      <c r="B83" s="111"/>
      <c r="C83" s="111"/>
      <c r="D83" s="111"/>
      <c r="E83" s="111"/>
      <c r="F83" s="111"/>
      <c r="G83" s="111"/>
      <c r="H83" s="111"/>
      <c r="I83" s="111"/>
      <c r="J83" s="111"/>
      <c r="K83" s="111"/>
      <c r="L83" s="111"/>
      <c r="M83" s="111"/>
      <c r="N83" s="111"/>
      <c r="O83" s="111"/>
      <c r="P83" s="111"/>
      <c r="Q83" s="139"/>
      <c r="R83" s="191"/>
      <c r="S83" s="191"/>
      <c r="T83" s="191"/>
      <c r="U83" s="192"/>
      <c r="V83" s="193"/>
      <c r="W83" s="194"/>
      <c r="X83" s="117"/>
      <c r="Y83" s="111"/>
      <c r="Z83" s="111"/>
    </row>
    <row r="84" spans="1:26">
      <c r="A84" s="111"/>
      <c r="B84" s="111"/>
      <c r="C84" s="111"/>
      <c r="D84" s="111"/>
      <c r="E84" s="111"/>
      <c r="F84" s="111"/>
      <c r="G84" s="111"/>
      <c r="H84" s="111"/>
      <c r="I84" s="111"/>
      <c r="J84" s="111"/>
      <c r="K84" s="111"/>
      <c r="L84" s="111"/>
      <c r="M84" s="111"/>
      <c r="N84" s="111"/>
      <c r="O84" s="111"/>
      <c r="P84" s="111"/>
      <c r="Q84" s="139"/>
      <c r="R84" s="191"/>
      <c r="S84" s="191"/>
      <c r="T84" s="191"/>
      <c r="U84" s="192"/>
      <c r="V84" s="193"/>
      <c r="W84" s="194"/>
      <c r="X84" s="117"/>
      <c r="Y84" s="111"/>
      <c r="Z84" s="111"/>
    </row>
    <row r="85" spans="1:26">
      <c r="A85" s="111"/>
      <c r="B85" s="111"/>
      <c r="C85" s="111"/>
      <c r="D85" s="111"/>
      <c r="E85" s="111"/>
      <c r="F85" s="111"/>
      <c r="G85" s="111"/>
      <c r="H85" s="111"/>
      <c r="I85" s="111"/>
      <c r="J85" s="111"/>
      <c r="K85" s="111"/>
      <c r="L85" s="111"/>
      <c r="M85" s="111"/>
      <c r="N85" s="111"/>
      <c r="O85" s="111"/>
      <c r="P85" s="111"/>
      <c r="Q85" s="139"/>
      <c r="R85" s="191"/>
      <c r="S85" s="191"/>
      <c r="T85" s="191"/>
      <c r="U85" s="192"/>
      <c r="V85" s="193"/>
      <c r="W85" s="194"/>
      <c r="X85" s="117"/>
      <c r="Y85" s="111"/>
      <c r="Z85" s="111"/>
    </row>
    <row r="86" spans="1:26">
      <c r="A86" s="111"/>
      <c r="B86" s="111"/>
      <c r="C86" s="111"/>
      <c r="D86" s="111"/>
      <c r="E86" s="111"/>
      <c r="F86" s="111"/>
      <c r="G86" s="111"/>
      <c r="H86" s="111"/>
      <c r="I86" s="111"/>
      <c r="J86" s="111"/>
      <c r="K86" s="111"/>
      <c r="L86" s="111"/>
      <c r="M86" s="111"/>
      <c r="N86" s="111"/>
      <c r="O86" s="111"/>
      <c r="P86" s="111"/>
      <c r="Q86" s="139"/>
      <c r="R86" s="191"/>
      <c r="S86" s="191"/>
      <c r="T86" s="191"/>
      <c r="U86" s="192"/>
      <c r="V86" s="193"/>
      <c r="W86" s="194"/>
      <c r="X86" s="117"/>
      <c r="Y86" s="111"/>
      <c r="Z86" s="111"/>
    </row>
    <row r="87" spans="1:26">
      <c r="A87" s="111"/>
      <c r="B87" s="111"/>
      <c r="C87" s="111"/>
      <c r="D87" s="111"/>
      <c r="E87" s="111"/>
      <c r="F87" s="111"/>
      <c r="G87" s="111"/>
      <c r="H87" s="111"/>
      <c r="I87" s="111"/>
      <c r="J87" s="111"/>
      <c r="K87" s="111"/>
      <c r="L87" s="111"/>
      <c r="M87" s="111"/>
      <c r="N87" s="111"/>
      <c r="O87" s="111"/>
      <c r="P87" s="111"/>
      <c r="Q87" s="139"/>
      <c r="R87" s="191"/>
      <c r="S87" s="191"/>
      <c r="T87" s="191"/>
      <c r="U87" s="192"/>
      <c r="V87" s="193"/>
      <c r="W87" s="194"/>
      <c r="X87" s="117"/>
      <c r="Y87" s="111"/>
      <c r="Z87" s="111"/>
    </row>
    <row r="88" spans="1:26">
      <c r="A88" s="111"/>
      <c r="B88" s="111"/>
      <c r="C88" s="111"/>
      <c r="D88" s="111"/>
      <c r="E88" s="111"/>
      <c r="F88" s="111"/>
      <c r="G88" s="111"/>
      <c r="H88" s="111"/>
      <c r="I88" s="111"/>
      <c r="J88" s="111"/>
      <c r="K88" s="111"/>
      <c r="L88" s="111"/>
      <c r="M88" s="111"/>
      <c r="N88" s="111"/>
      <c r="O88" s="111"/>
      <c r="P88" s="111"/>
      <c r="Q88" s="139"/>
      <c r="R88" s="191"/>
      <c r="S88" s="191"/>
      <c r="T88" s="191"/>
      <c r="U88" s="192"/>
      <c r="V88" s="193"/>
      <c r="W88" s="194"/>
      <c r="X88" s="117"/>
      <c r="Y88" s="111"/>
      <c r="Z88" s="111"/>
    </row>
    <row r="89" spans="1:26">
      <c r="A89" s="111"/>
      <c r="B89" s="111"/>
      <c r="C89" s="111"/>
      <c r="D89" s="111"/>
      <c r="E89" s="111"/>
      <c r="F89" s="111"/>
      <c r="G89" s="111"/>
      <c r="H89" s="111"/>
      <c r="I89" s="111"/>
      <c r="J89" s="111"/>
      <c r="K89" s="111"/>
      <c r="L89" s="111"/>
      <c r="M89" s="111"/>
      <c r="N89" s="111"/>
      <c r="O89" s="111"/>
      <c r="P89" s="111"/>
      <c r="Q89" s="139"/>
      <c r="R89" s="191"/>
      <c r="S89" s="191"/>
      <c r="T89" s="191"/>
      <c r="U89" s="192"/>
      <c r="V89" s="193"/>
      <c r="W89" s="194"/>
      <c r="X89" s="117"/>
      <c r="Y89" s="111"/>
      <c r="Z89" s="111"/>
    </row>
    <row r="90" spans="1:26">
      <c r="A90" s="111"/>
      <c r="B90" s="111"/>
      <c r="C90" s="111"/>
      <c r="D90" s="111"/>
      <c r="E90" s="111"/>
      <c r="F90" s="111"/>
      <c r="G90" s="111"/>
      <c r="H90" s="111"/>
      <c r="I90" s="111"/>
      <c r="J90" s="111"/>
      <c r="K90" s="111"/>
      <c r="L90" s="111"/>
      <c r="M90" s="111"/>
      <c r="N90" s="111"/>
      <c r="O90" s="111"/>
      <c r="P90" s="111"/>
      <c r="Q90" s="139"/>
      <c r="R90" s="191"/>
      <c r="S90" s="191"/>
      <c r="T90" s="191"/>
      <c r="U90" s="192"/>
      <c r="V90" s="193"/>
      <c r="W90" s="194"/>
      <c r="X90" s="117"/>
      <c r="Y90" s="111"/>
      <c r="Z90" s="111"/>
    </row>
    <row r="91" spans="1:26">
      <c r="A91" s="111"/>
      <c r="B91" s="111"/>
      <c r="C91" s="111"/>
      <c r="D91" s="111"/>
      <c r="E91" s="111"/>
      <c r="F91" s="111"/>
      <c r="G91" s="111"/>
      <c r="H91" s="111"/>
      <c r="I91" s="111"/>
      <c r="J91" s="111"/>
      <c r="K91" s="111"/>
      <c r="L91" s="111"/>
      <c r="M91" s="111"/>
      <c r="N91" s="111"/>
      <c r="O91" s="111"/>
      <c r="P91" s="111"/>
      <c r="Q91" s="139"/>
      <c r="R91" s="191"/>
      <c r="S91" s="191"/>
      <c r="T91" s="191"/>
      <c r="U91" s="192"/>
      <c r="V91" s="193"/>
      <c r="W91" s="194"/>
      <c r="X91" s="117"/>
      <c r="Y91" s="111"/>
      <c r="Z91" s="111"/>
    </row>
    <row r="92" spans="1:26">
      <c r="A92" s="111"/>
      <c r="B92" s="111"/>
      <c r="C92" s="111"/>
      <c r="D92" s="111"/>
      <c r="E92" s="111"/>
      <c r="F92" s="111"/>
      <c r="G92" s="111"/>
      <c r="H92" s="111"/>
      <c r="I92" s="111"/>
      <c r="J92" s="111"/>
      <c r="K92" s="111"/>
      <c r="L92" s="111"/>
      <c r="M92" s="111"/>
      <c r="N92" s="111"/>
      <c r="O92" s="111"/>
      <c r="P92" s="111"/>
      <c r="Q92" s="139"/>
      <c r="R92" s="191"/>
      <c r="S92" s="191"/>
      <c r="T92" s="191"/>
      <c r="U92" s="192"/>
      <c r="V92" s="193"/>
      <c r="W92" s="194"/>
      <c r="X92" s="117"/>
      <c r="Y92" s="111"/>
      <c r="Z92" s="111"/>
    </row>
    <row r="93" spans="1:26">
      <c r="A93" s="111"/>
      <c r="B93" s="111"/>
      <c r="C93" s="111"/>
      <c r="D93" s="111"/>
      <c r="E93" s="111"/>
      <c r="F93" s="111"/>
      <c r="G93" s="111"/>
      <c r="H93" s="111"/>
      <c r="I93" s="111"/>
      <c r="J93" s="111"/>
      <c r="K93" s="111"/>
      <c r="L93" s="111"/>
      <c r="M93" s="111"/>
      <c r="N93" s="111"/>
      <c r="O93" s="111"/>
      <c r="P93" s="111"/>
      <c r="Q93" s="139"/>
      <c r="R93" s="191"/>
      <c r="S93" s="191"/>
      <c r="T93" s="191"/>
      <c r="U93" s="192"/>
      <c r="V93" s="193"/>
      <c r="W93" s="194"/>
      <c r="X93" s="117"/>
      <c r="Y93" s="111"/>
      <c r="Z93" s="111"/>
    </row>
    <row r="94" spans="1:26">
      <c r="A94" s="111"/>
      <c r="B94" s="111"/>
      <c r="C94" s="111"/>
      <c r="D94" s="111"/>
      <c r="E94" s="111"/>
      <c r="F94" s="111"/>
      <c r="G94" s="111"/>
      <c r="H94" s="111"/>
      <c r="I94" s="111"/>
      <c r="J94" s="111"/>
      <c r="K94" s="111"/>
      <c r="L94" s="111"/>
      <c r="M94" s="111"/>
      <c r="N94" s="111"/>
      <c r="O94" s="111"/>
      <c r="P94" s="111"/>
      <c r="Q94" s="139"/>
      <c r="R94" s="191"/>
      <c r="S94" s="191"/>
      <c r="T94" s="191"/>
      <c r="U94" s="192"/>
      <c r="V94" s="193"/>
      <c r="W94" s="194"/>
      <c r="X94" s="117"/>
      <c r="Y94" s="111"/>
      <c r="Z94" s="111"/>
    </row>
    <row r="95" spans="1:26">
      <c r="A95" s="111"/>
      <c r="B95" s="111"/>
      <c r="C95" s="111"/>
      <c r="D95" s="111"/>
      <c r="E95" s="111"/>
      <c r="F95" s="111"/>
      <c r="G95" s="111"/>
      <c r="H95" s="111"/>
      <c r="I95" s="111"/>
      <c r="J95" s="111"/>
      <c r="K95" s="111"/>
      <c r="L95" s="111"/>
      <c r="M95" s="111"/>
      <c r="N95" s="111"/>
      <c r="O95" s="111"/>
      <c r="P95" s="111"/>
      <c r="Q95" s="139"/>
      <c r="R95" s="191"/>
      <c r="S95" s="191"/>
      <c r="T95" s="191"/>
      <c r="U95" s="192"/>
      <c r="V95" s="193"/>
      <c r="W95" s="194"/>
      <c r="X95" s="117"/>
      <c r="Y95" s="111"/>
      <c r="Z95" s="111"/>
    </row>
    <row r="96" spans="1:26">
      <c r="A96" s="111"/>
      <c r="B96" s="111"/>
      <c r="C96" s="111"/>
      <c r="D96" s="111"/>
      <c r="E96" s="111"/>
      <c r="F96" s="111"/>
      <c r="G96" s="111"/>
      <c r="H96" s="111"/>
      <c r="I96" s="111"/>
      <c r="J96" s="111"/>
      <c r="K96" s="111"/>
      <c r="L96" s="111"/>
      <c r="M96" s="111"/>
      <c r="N96" s="111"/>
      <c r="O96" s="111"/>
      <c r="P96" s="111"/>
      <c r="Q96" s="139"/>
      <c r="R96" s="191"/>
      <c r="S96" s="191"/>
      <c r="T96" s="191"/>
      <c r="U96" s="192"/>
      <c r="V96" s="193"/>
      <c r="W96" s="194"/>
      <c r="X96" s="117"/>
      <c r="Y96" s="111"/>
      <c r="Z96" s="111"/>
    </row>
    <row r="97" spans="1:26">
      <c r="A97" s="111"/>
      <c r="B97" s="111"/>
      <c r="C97" s="111"/>
      <c r="D97" s="111"/>
      <c r="E97" s="111"/>
      <c r="F97" s="111"/>
      <c r="G97" s="111"/>
      <c r="H97" s="111"/>
      <c r="I97" s="111"/>
      <c r="J97" s="111"/>
      <c r="K97" s="111"/>
      <c r="L97" s="111"/>
      <c r="M97" s="111"/>
      <c r="N97" s="111"/>
      <c r="O97" s="111"/>
      <c r="P97" s="111"/>
      <c r="Q97" s="139"/>
      <c r="R97" s="191"/>
      <c r="S97" s="191"/>
      <c r="T97" s="191"/>
      <c r="U97" s="192"/>
      <c r="V97" s="193"/>
      <c r="W97" s="194"/>
      <c r="X97" s="117"/>
      <c r="Y97" s="111"/>
      <c r="Z97" s="111"/>
    </row>
    <row r="98" spans="1:26">
      <c r="A98" s="111"/>
      <c r="B98" s="111"/>
      <c r="C98" s="111"/>
      <c r="D98" s="111"/>
      <c r="E98" s="111"/>
      <c r="F98" s="111"/>
      <c r="G98" s="111"/>
      <c r="H98" s="111"/>
      <c r="I98" s="111"/>
      <c r="J98" s="111"/>
      <c r="K98" s="111"/>
      <c r="L98" s="111"/>
      <c r="M98" s="111"/>
      <c r="N98" s="111"/>
      <c r="O98" s="111"/>
      <c r="P98" s="111"/>
      <c r="Q98" s="139"/>
      <c r="R98" s="191"/>
      <c r="S98" s="191"/>
      <c r="T98" s="191"/>
      <c r="U98" s="192"/>
      <c r="V98" s="193"/>
      <c r="W98" s="194"/>
      <c r="X98" s="117"/>
      <c r="Y98" s="111"/>
      <c r="Z98" s="111"/>
    </row>
    <row r="99" spans="1:26">
      <c r="A99" s="111"/>
      <c r="B99" s="111"/>
      <c r="C99" s="111"/>
      <c r="D99" s="111"/>
      <c r="E99" s="111"/>
      <c r="F99" s="111"/>
      <c r="G99" s="111"/>
      <c r="H99" s="111"/>
      <c r="I99" s="111"/>
      <c r="J99" s="111"/>
      <c r="K99" s="111"/>
      <c r="L99" s="111"/>
      <c r="M99" s="111"/>
      <c r="N99" s="111"/>
      <c r="O99" s="111"/>
      <c r="P99" s="111"/>
      <c r="Q99" s="139"/>
      <c r="R99" s="191"/>
      <c r="S99" s="191"/>
      <c r="T99" s="191"/>
      <c r="U99" s="192"/>
      <c r="V99" s="193"/>
      <c r="W99" s="194"/>
      <c r="X99" s="117"/>
      <c r="Y99" s="111"/>
      <c r="Z99" s="111"/>
    </row>
  </sheetData>
  <hyperlinks>
    <hyperlink ref="F2" r:id="rId1" xr:uid="{00000000-0004-0000-0E00-000000000000}"/>
    <hyperlink ref="F3" r:id="rId2" xr:uid="{00000000-0004-0000-0E00-000001000000}"/>
    <hyperlink ref="F4" r:id="rId3" xr:uid="{00000000-0004-0000-0E00-000002000000}"/>
    <hyperlink ref="F5" r:id="rId4" xr:uid="{00000000-0004-0000-0E00-000003000000}"/>
    <hyperlink ref="F6" r:id="rId5" xr:uid="{00000000-0004-0000-0E00-000004000000}"/>
    <hyperlink ref="F7" r:id="rId6" xr:uid="{00000000-0004-0000-0E00-000005000000}"/>
    <hyperlink ref="F8" r:id="rId7" xr:uid="{00000000-0004-0000-0E00-000006000000}"/>
    <hyperlink ref="F9" r:id="rId8" xr:uid="{00000000-0004-0000-0E00-000007000000}"/>
    <hyperlink ref="F10" r:id="rId9" xr:uid="{00000000-0004-0000-0E00-000008000000}"/>
    <hyperlink ref="F11" r:id="rId10" xr:uid="{00000000-0004-0000-0E00-000009000000}"/>
    <hyperlink ref="F12" r:id="rId11" xr:uid="{00000000-0004-0000-0E00-00000A000000}"/>
    <hyperlink ref="F13" r:id="rId12" xr:uid="{00000000-0004-0000-0E00-00000B000000}"/>
    <hyperlink ref="F14" r:id="rId13" xr:uid="{00000000-0004-0000-0E00-00000C000000}"/>
    <hyperlink ref="F15" r:id="rId14" xr:uid="{00000000-0004-0000-0E00-00000D000000}"/>
    <hyperlink ref="F16" r:id="rId15" xr:uid="{00000000-0004-0000-0E00-00000E000000}"/>
    <hyperlink ref="F17" r:id="rId16" xr:uid="{00000000-0004-0000-0E00-00000F000000}"/>
  </hyperlinks>
  <pageMargins left="0.7" right="0.7" top="0.75" bottom="0.75" header="0.3" footer="0.3"/>
  <drawing r:id="rId17"/>
  <legacyDrawing r:id="rId18"/>
  <extLst>
    <ext xmlns:x14="http://schemas.microsoft.com/office/spreadsheetml/2009/9/main" uri="{CCE6A557-97BC-4b89-ADB6-D9C93CAAB3DF}">
      <x14:dataValidations xmlns:xm="http://schemas.microsoft.com/office/excel/2006/main" count="3">
        <x14:dataValidation type="list" allowBlank="1" xr:uid="{00000000-0002-0000-0E00-000000000000}">
          <x14:formula1>
            <xm:f>Fields!$F$2:$F$8</xm:f>
          </x14:formula1>
          <xm:sqref>C2:C17</xm:sqref>
        </x14:dataValidation>
        <x14:dataValidation type="list" allowBlank="1" xr:uid="{00000000-0002-0000-0E00-000001000000}">
          <x14:formula1>
            <xm:f>Fields!$D$2:$D$10</xm:f>
          </x14:formula1>
          <xm:sqref>B2:B17</xm:sqref>
        </x14:dataValidation>
        <x14:dataValidation type="list" allowBlank="1" xr:uid="{00000000-0002-0000-0E00-000002000000}">
          <x14:formula1>
            <xm:f>Fields!$A$2:$A$8</xm:f>
          </x14:formula1>
          <xm:sqref>D2:D17</xm:sqref>
        </x14:dataValidation>
      </x14:dataValidations>
    </ext>
  </extLst>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K93"/>
  <sheetViews>
    <sheetView workbookViewId="0">
      <pane ySplit="1" topLeftCell="A2" activePane="bottomLeft" state="frozen"/>
      <selection pane="bottomLeft" activeCell="B3" sqref="B3"/>
    </sheetView>
  </sheetViews>
  <sheetFormatPr defaultColWidth="12.5703125" defaultRowHeight="15" customHeight="1"/>
  <cols>
    <col min="1" max="1" width="5.140625" customWidth="1"/>
    <col min="2" max="2" width="6.28515625" customWidth="1"/>
    <col min="3" max="3" width="5.42578125" customWidth="1"/>
    <col min="4" max="4" width="11.28515625" customWidth="1"/>
    <col min="5" max="5" width="3.140625" customWidth="1"/>
    <col min="6" max="6" width="61.140625" customWidth="1"/>
    <col min="7" max="7" width="24.85546875" customWidth="1"/>
    <col min="8" max="8" width="30" customWidth="1"/>
    <col min="9" max="10" width="7.42578125" customWidth="1"/>
    <col min="11" max="11" width="6.42578125" customWidth="1"/>
    <col min="12" max="12" width="8.42578125" customWidth="1"/>
    <col min="13" max="14" width="6.42578125" customWidth="1"/>
    <col min="15" max="16" width="7.42578125" customWidth="1"/>
    <col min="17" max="17" width="18.28515625" customWidth="1"/>
    <col min="18" max="18" width="5.7109375" customWidth="1"/>
    <col min="19" max="19" width="5.5703125" customWidth="1"/>
    <col min="20" max="20" width="6.5703125" customWidth="1"/>
    <col min="21" max="21" width="6.85546875" customWidth="1"/>
    <col min="22" max="22" width="7.7109375" customWidth="1"/>
    <col min="23" max="23" width="6.5703125" customWidth="1"/>
    <col min="24" max="24" width="7.5703125" customWidth="1"/>
    <col min="25" max="26" width="42.85546875" customWidth="1"/>
    <col min="27" max="37" width="11" customWidth="1"/>
  </cols>
  <sheetData>
    <row r="1" spans="1:37" ht="45" customHeight="1">
      <c r="A1" s="31" t="s">
        <v>9</v>
      </c>
      <c r="B1" s="66" t="str">
        <f>HYPERLINK("#rangeid=2086300674","Content Owner")</f>
        <v>Content Owner</v>
      </c>
      <c r="C1" s="67" t="str">
        <f>HYPERLINK("#rangeid=632369931","Video Owner")</f>
        <v>Video Owner</v>
      </c>
      <c r="D1" s="36" t="s">
        <v>87</v>
      </c>
      <c r="E1" s="37" t="s">
        <v>221</v>
      </c>
      <c r="F1" s="38" t="s">
        <v>223</v>
      </c>
      <c r="G1" s="31" t="s">
        <v>230</v>
      </c>
      <c r="H1" s="68" t="str">
        <f>HYPERLINK("#rangeid=906849400","Description")</f>
        <v>Description</v>
      </c>
      <c r="I1" s="41" t="s">
        <v>233</v>
      </c>
      <c r="J1" s="31" t="s">
        <v>234</v>
      </c>
      <c r="K1" s="42" t="s">
        <v>235</v>
      </c>
      <c r="L1" s="31" t="s">
        <v>236</v>
      </c>
      <c r="M1" s="31" t="s">
        <v>237</v>
      </c>
      <c r="N1" s="31" t="s">
        <v>238</v>
      </c>
      <c r="O1" s="31" t="s">
        <v>239</v>
      </c>
      <c r="P1" s="31" t="s">
        <v>240</v>
      </c>
      <c r="Q1" s="31" t="s">
        <v>241</v>
      </c>
      <c r="R1" s="43" t="s">
        <v>242</v>
      </c>
      <c r="S1" s="43" t="s">
        <v>243</v>
      </c>
      <c r="T1" s="43" t="s">
        <v>89</v>
      </c>
      <c r="U1" s="44" t="s">
        <v>244</v>
      </c>
      <c r="V1" s="45" t="s">
        <v>245</v>
      </c>
      <c r="W1" s="46" t="str">
        <f>HYPERLINK("#rangeid=120001109","Replay")</f>
        <v>Replay</v>
      </c>
      <c r="X1" s="47" t="s">
        <v>246</v>
      </c>
      <c r="Y1" s="48" t="s">
        <v>247</v>
      </c>
      <c r="Z1" s="49" t="s">
        <v>248</v>
      </c>
      <c r="AA1" s="50"/>
      <c r="AB1" s="50"/>
      <c r="AC1" s="50"/>
      <c r="AD1" s="50"/>
      <c r="AE1" s="50"/>
      <c r="AF1" s="50"/>
      <c r="AG1" s="50"/>
      <c r="AH1" s="50"/>
      <c r="AI1" s="50"/>
      <c r="AJ1" s="50"/>
      <c r="AK1" s="50"/>
    </row>
    <row r="2" spans="1:37">
      <c r="A2" s="51">
        <v>17</v>
      </c>
      <c r="B2" s="69" t="s">
        <v>131</v>
      </c>
      <c r="C2" s="53"/>
      <c r="D2" s="54"/>
      <c r="E2" s="51" t="s">
        <v>282</v>
      </c>
      <c r="F2" s="55" t="s">
        <v>283</v>
      </c>
      <c r="G2" s="56"/>
      <c r="H2" s="57"/>
      <c r="I2" s="51"/>
      <c r="J2" s="51">
        <f>343</f>
        <v>343</v>
      </c>
      <c r="K2" s="58">
        <v>2.7430555555555559E-3</v>
      </c>
      <c r="L2" s="59" t="s">
        <v>251</v>
      </c>
      <c r="M2" s="51"/>
      <c r="N2" s="51"/>
      <c r="O2" s="51"/>
      <c r="P2" s="60"/>
      <c r="Q2" s="37" t="str">
        <f t="shared" ref="Q2:Q21" ca="1" si="0">HYPERLINK(IF(INT(A2)-A2=0,"",REPLACE(INDIRECT("MasterList!e"&amp;INT(A2)+1),25,8,"embed/")&amp;"?start="&amp;HOUR(M2)*3600+MINUTE(M2)*60+SECOND(M2)&amp;"&amp;end="&amp;HOUR(N2)*3600+MINUTE(N2)*60+SECOND(N2)&amp;"&amp;autoplay=1"))</f>
        <v/>
      </c>
      <c r="R2" s="52"/>
      <c r="S2" s="52"/>
      <c r="T2" s="52"/>
      <c r="U2" s="61"/>
      <c r="V2" s="62"/>
      <c r="W2" s="63"/>
      <c r="X2" s="64"/>
      <c r="Y2" s="51"/>
      <c r="Z2" s="51"/>
      <c r="AA2" s="51"/>
      <c r="AB2" s="51"/>
    </row>
    <row r="3" spans="1:37">
      <c r="A3" s="51">
        <v>19</v>
      </c>
      <c r="B3" s="69" t="s">
        <v>131</v>
      </c>
      <c r="C3" s="53"/>
      <c r="D3" s="54"/>
      <c r="E3" s="51" t="s">
        <v>288</v>
      </c>
      <c r="F3" s="55" t="s">
        <v>289</v>
      </c>
      <c r="G3" s="56"/>
      <c r="H3" s="57"/>
      <c r="I3" s="51"/>
      <c r="J3" s="51">
        <f>378</f>
        <v>378</v>
      </c>
      <c r="K3" s="58">
        <v>1.1226851851851851E-3</v>
      </c>
      <c r="L3" s="59" t="s">
        <v>251</v>
      </c>
      <c r="M3" s="51"/>
      <c r="N3" s="51"/>
      <c r="O3" s="51"/>
      <c r="P3" s="60"/>
      <c r="Q3" s="37" t="str">
        <f t="shared" ca="1" si="0"/>
        <v/>
      </c>
      <c r="R3" s="52"/>
      <c r="S3" s="52"/>
      <c r="T3" s="52"/>
      <c r="U3" s="61"/>
      <c r="V3" s="62"/>
      <c r="W3" s="63"/>
      <c r="X3" s="64"/>
      <c r="Y3" s="51"/>
      <c r="Z3" s="51"/>
      <c r="AA3" s="51"/>
      <c r="AB3" s="51"/>
    </row>
    <row r="4" spans="1:37">
      <c r="A4" s="51">
        <v>30</v>
      </c>
      <c r="B4" s="69" t="s">
        <v>131</v>
      </c>
      <c r="C4" s="61"/>
      <c r="D4" s="51"/>
      <c r="E4" s="51" t="s">
        <v>332</v>
      </c>
      <c r="F4" s="55" t="s">
        <v>333</v>
      </c>
      <c r="G4" s="80" t="s">
        <v>2174</v>
      </c>
      <c r="H4" s="57"/>
      <c r="I4" s="51"/>
      <c r="J4" s="51">
        <f>6.9*1000</f>
        <v>6900</v>
      </c>
      <c r="K4" s="58">
        <v>5.208333333333333E-3</v>
      </c>
      <c r="L4" s="59" t="s">
        <v>251</v>
      </c>
      <c r="M4" s="77"/>
      <c r="N4" s="77"/>
      <c r="O4" s="51"/>
      <c r="P4" s="51"/>
      <c r="Q4" s="37" t="str">
        <f t="shared" ca="1" si="0"/>
        <v/>
      </c>
      <c r="R4" s="52"/>
      <c r="S4" s="52"/>
      <c r="T4" s="52"/>
      <c r="U4" s="61"/>
      <c r="V4" s="62"/>
      <c r="W4" s="63"/>
      <c r="X4" s="64"/>
      <c r="Y4" s="51"/>
      <c r="Z4" s="51"/>
      <c r="AA4" s="51"/>
      <c r="AB4" s="51"/>
    </row>
    <row r="5" spans="1:37">
      <c r="A5" s="51">
        <v>32</v>
      </c>
      <c r="B5" s="69" t="s">
        <v>131</v>
      </c>
      <c r="C5" s="61"/>
      <c r="D5" s="51"/>
      <c r="E5" s="51" t="s">
        <v>340</v>
      </c>
      <c r="F5" s="55" t="s">
        <v>341</v>
      </c>
      <c r="G5" s="56"/>
      <c r="H5" s="57"/>
      <c r="I5" s="51"/>
      <c r="J5" s="51">
        <f>282</f>
        <v>282</v>
      </c>
      <c r="K5" s="58">
        <v>1.2037037037037038E-3</v>
      </c>
      <c r="L5" s="59" t="s">
        <v>251</v>
      </c>
      <c r="M5" s="77"/>
      <c r="N5" s="77"/>
      <c r="O5" s="51"/>
      <c r="P5" s="51"/>
      <c r="Q5" s="37" t="str">
        <f t="shared" ca="1" si="0"/>
        <v/>
      </c>
      <c r="R5" s="52"/>
      <c r="S5" s="52"/>
      <c r="T5" s="52"/>
      <c r="U5" s="61"/>
      <c r="V5" s="62"/>
      <c r="W5" s="63"/>
      <c r="X5" s="64"/>
      <c r="Y5" s="51"/>
      <c r="Z5" s="51"/>
      <c r="AA5" s="51"/>
      <c r="AB5" s="51"/>
    </row>
    <row r="6" spans="1:37">
      <c r="A6" s="51">
        <v>54</v>
      </c>
      <c r="B6" s="69" t="s">
        <v>131</v>
      </c>
      <c r="C6" s="61"/>
      <c r="D6" s="51"/>
      <c r="E6" s="51" t="s">
        <v>434</v>
      </c>
      <c r="F6" s="55" t="s">
        <v>435</v>
      </c>
      <c r="G6" s="56"/>
      <c r="H6" s="57"/>
      <c r="I6" s="51"/>
      <c r="J6" s="51">
        <f>1.3*1000</f>
        <v>1300</v>
      </c>
      <c r="K6" s="58">
        <v>9.3171296296296283E-3</v>
      </c>
      <c r="L6" s="59" t="s">
        <v>251</v>
      </c>
      <c r="M6" s="77"/>
      <c r="N6" s="77"/>
      <c r="O6" s="51"/>
      <c r="P6" s="51"/>
      <c r="Q6" s="37" t="str">
        <f t="shared" ca="1" si="0"/>
        <v/>
      </c>
      <c r="R6" s="52"/>
      <c r="S6" s="52"/>
      <c r="T6" s="52"/>
      <c r="U6" s="61"/>
      <c r="V6" s="62"/>
      <c r="W6" s="63"/>
      <c r="X6" s="64"/>
      <c r="Y6" s="51"/>
      <c r="Z6" s="51"/>
      <c r="AA6" s="51"/>
      <c r="AB6" s="51"/>
    </row>
    <row r="7" spans="1:37">
      <c r="A7" s="51">
        <v>55</v>
      </c>
      <c r="B7" s="69" t="s">
        <v>131</v>
      </c>
      <c r="C7" s="61"/>
      <c r="D7" s="51"/>
      <c r="E7" s="51" t="s">
        <v>439</v>
      </c>
      <c r="F7" s="55" t="s">
        <v>441</v>
      </c>
      <c r="G7" s="56"/>
      <c r="H7" s="57"/>
      <c r="I7" s="51"/>
      <c r="J7" s="51">
        <f>959</f>
        <v>959</v>
      </c>
      <c r="K7" s="58">
        <v>9.0740740740740729E-3</v>
      </c>
      <c r="L7" s="59" t="s">
        <v>251</v>
      </c>
      <c r="M7" s="77"/>
      <c r="N7" s="77"/>
      <c r="O7" s="51"/>
      <c r="P7" s="51"/>
      <c r="Q7" s="37" t="str">
        <f t="shared" ca="1" si="0"/>
        <v/>
      </c>
      <c r="R7" s="52"/>
      <c r="S7" s="52"/>
      <c r="T7" s="52"/>
      <c r="U7" s="61"/>
      <c r="V7" s="62"/>
      <c r="W7" s="63"/>
      <c r="X7" s="64"/>
      <c r="Y7" s="51"/>
      <c r="Z7" s="51"/>
      <c r="AA7" s="51"/>
      <c r="AB7" s="51"/>
    </row>
    <row r="8" spans="1:37">
      <c r="A8" s="51">
        <v>56</v>
      </c>
      <c r="B8" s="69" t="s">
        <v>131</v>
      </c>
      <c r="C8" s="61"/>
      <c r="D8" s="51"/>
      <c r="E8" s="51" t="s">
        <v>443</v>
      </c>
      <c r="F8" s="55" t="s">
        <v>444</v>
      </c>
      <c r="G8" s="56"/>
      <c r="H8" s="57"/>
      <c r="I8" s="51"/>
      <c r="J8" s="51">
        <f>1.1*1000</f>
        <v>1100</v>
      </c>
      <c r="K8" s="58">
        <v>5.185185185185185E-3</v>
      </c>
      <c r="L8" s="59" t="s">
        <v>251</v>
      </c>
      <c r="M8" s="77"/>
      <c r="N8" s="77"/>
      <c r="O8" s="51"/>
      <c r="P8" s="51"/>
      <c r="Q8" s="37" t="str">
        <f t="shared" ca="1" si="0"/>
        <v/>
      </c>
      <c r="R8" s="52"/>
      <c r="S8" s="52"/>
      <c r="T8" s="52"/>
      <c r="U8" s="61"/>
      <c r="V8" s="62"/>
      <c r="W8" s="63"/>
      <c r="X8" s="64"/>
      <c r="Y8" s="51"/>
      <c r="Z8" s="51"/>
      <c r="AA8" s="51"/>
      <c r="AB8" s="51"/>
    </row>
    <row r="9" spans="1:37">
      <c r="A9" s="51">
        <v>57</v>
      </c>
      <c r="B9" s="69" t="s">
        <v>131</v>
      </c>
      <c r="C9" s="61"/>
      <c r="D9" s="51"/>
      <c r="E9" s="51" t="s">
        <v>447</v>
      </c>
      <c r="F9" s="55" t="s">
        <v>449</v>
      </c>
      <c r="G9" s="56"/>
      <c r="H9" s="57"/>
      <c r="I9" s="51"/>
      <c r="J9" s="51">
        <f>1*1000</f>
        <v>1000</v>
      </c>
      <c r="K9" s="58">
        <v>8.5995370370370357E-3</v>
      </c>
      <c r="L9" s="59" t="s">
        <v>251</v>
      </c>
      <c r="M9" s="77"/>
      <c r="N9" s="77"/>
      <c r="O9" s="51"/>
      <c r="P9" s="51"/>
      <c r="Q9" s="37" t="str">
        <f t="shared" ca="1" si="0"/>
        <v/>
      </c>
      <c r="R9" s="52"/>
      <c r="S9" s="52"/>
      <c r="T9" s="52"/>
      <c r="U9" s="61"/>
      <c r="V9" s="62"/>
      <c r="W9" s="63"/>
      <c r="X9" s="64"/>
      <c r="Y9" s="51"/>
      <c r="Z9" s="51"/>
      <c r="AA9" s="51"/>
      <c r="AB9" s="51"/>
    </row>
    <row r="10" spans="1:37">
      <c r="A10" s="51">
        <v>58</v>
      </c>
      <c r="B10" s="69" t="s">
        <v>131</v>
      </c>
      <c r="C10" s="61"/>
      <c r="D10" s="51"/>
      <c r="E10" s="51" t="s">
        <v>453</v>
      </c>
      <c r="F10" s="55" t="s">
        <v>454</v>
      </c>
      <c r="G10" s="56"/>
      <c r="H10" s="57"/>
      <c r="I10" s="51"/>
      <c r="J10" s="51">
        <f>1.5*1000</f>
        <v>1500</v>
      </c>
      <c r="K10" s="58">
        <v>0.01</v>
      </c>
      <c r="L10" s="59" t="s">
        <v>251</v>
      </c>
      <c r="M10" s="77"/>
      <c r="N10" s="77"/>
      <c r="O10" s="51"/>
      <c r="P10" s="51"/>
      <c r="Q10" s="37" t="str">
        <f t="shared" ca="1" si="0"/>
        <v/>
      </c>
      <c r="R10" s="52"/>
      <c r="S10" s="52"/>
      <c r="T10" s="52"/>
      <c r="U10" s="61"/>
      <c r="V10" s="62"/>
      <c r="W10" s="63"/>
      <c r="X10" s="64"/>
      <c r="Y10" s="51"/>
      <c r="Z10" s="51"/>
      <c r="AA10" s="51"/>
      <c r="AB10" s="51"/>
    </row>
    <row r="11" spans="1:37">
      <c r="A11" s="51">
        <v>60</v>
      </c>
      <c r="B11" s="69" t="s">
        <v>131</v>
      </c>
      <c r="C11" s="61"/>
      <c r="D11" s="51"/>
      <c r="E11" s="51" t="s">
        <v>462</v>
      </c>
      <c r="F11" s="55" t="s">
        <v>463</v>
      </c>
      <c r="G11" s="56"/>
      <c r="H11" s="57"/>
      <c r="I11" s="51"/>
      <c r="J11" s="51">
        <f>2.3*1000</f>
        <v>2300</v>
      </c>
      <c r="K11" s="58">
        <v>5.6018518518518518E-3</v>
      </c>
      <c r="L11" s="59" t="s">
        <v>459</v>
      </c>
      <c r="M11" s="51"/>
      <c r="N11" s="51"/>
      <c r="O11" s="51"/>
      <c r="P11" s="51"/>
      <c r="Q11" s="37" t="str">
        <f t="shared" ca="1" si="0"/>
        <v/>
      </c>
      <c r="R11" s="52"/>
      <c r="S11" s="52"/>
      <c r="T11" s="52"/>
      <c r="U11" s="61"/>
      <c r="V11" s="62"/>
      <c r="W11" s="63"/>
      <c r="X11" s="64"/>
      <c r="Y11" s="51"/>
      <c r="Z11" s="51"/>
      <c r="AA11" s="51"/>
      <c r="AB11" s="51"/>
    </row>
    <row r="12" spans="1:37">
      <c r="A12" s="51">
        <v>61</v>
      </c>
      <c r="B12" s="69" t="s">
        <v>131</v>
      </c>
      <c r="C12" s="61"/>
      <c r="D12" s="51"/>
      <c r="E12" s="51" t="s">
        <v>467</v>
      </c>
      <c r="F12" s="55" t="s">
        <v>468</v>
      </c>
      <c r="G12" s="56"/>
      <c r="H12" s="57"/>
      <c r="I12" s="51"/>
      <c r="J12" s="51">
        <f>709</f>
        <v>709</v>
      </c>
      <c r="K12" s="58">
        <v>2.0138888888888888E-3</v>
      </c>
      <c r="L12" s="59" t="s">
        <v>459</v>
      </c>
      <c r="M12" s="51"/>
      <c r="N12" s="51"/>
      <c r="O12" s="51"/>
      <c r="P12" s="51"/>
      <c r="Q12" s="37" t="str">
        <f t="shared" ca="1" si="0"/>
        <v/>
      </c>
      <c r="R12" s="52"/>
      <c r="S12" s="52"/>
      <c r="T12" s="52"/>
      <c r="U12" s="61"/>
      <c r="V12" s="62"/>
      <c r="W12" s="63"/>
      <c r="X12" s="64"/>
      <c r="Y12" s="51"/>
      <c r="Z12" s="51"/>
      <c r="AA12" s="51"/>
      <c r="AB12" s="51"/>
    </row>
    <row r="13" spans="1:37">
      <c r="A13" s="51">
        <v>66</v>
      </c>
      <c r="B13" s="69" t="s">
        <v>131</v>
      </c>
      <c r="C13" s="61"/>
      <c r="D13" s="51"/>
      <c r="E13" s="51" t="s">
        <v>491</v>
      </c>
      <c r="F13" s="55" t="s">
        <v>492</v>
      </c>
      <c r="G13" s="56"/>
      <c r="H13" s="57"/>
      <c r="I13" s="51"/>
      <c r="J13" s="51">
        <f>2.9*1000</f>
        <v>2900</v>
      </c>
      <c r="K13" s="58">
        <v>2.7766203703703706E-2</v>
      </c>
      <c r="L13" s="59" t="s">
        <v>459</v>
      </c>
      <c r="M13" s="51"/>
      <c r="N13" s="51"/>
      <c r="O13" s="51"/>
      <c r="P13" s="51"/>
      <c r="Q13" s="37" t="str">
        <f t="shared" ca="1" si="0"/>
        <v/>
      </c>
      <c r="R13" s="52"/>
      <c r="S13" s="52"/>
      <c r="T13" s="52"/>
      <c r="U13" s="61"/>
      <c r="V13" s="62"/>
      <c r="W13" s="63"/>
      <c r="X13" s="64"/>
      <c r="Y13" s="51"/>
      <c r="Z13" s="51"/>
      <c r="AA13" s="51"/>
      <c r="AB13" s="51"/>
    </row>
    <row r="14" spans="1:37">
      <c r="A14" s="51">
        <v>67</v>
      </c>
      <c r="B14" s="69" t="s">
        <v>131</v>
      </c>
      <c r="C14" s="61"/>
      <c r="D14" s="51"/>
      <c r="E14" s="51" t="s">
        <v>495</v>
      </c>
      <c r="F14" s="55" t="s">
        <v>496</v>
      </c>
      <c r="G14" s="56"/>
      <c r="H14" s="57"/>
      <c r="I14" s="51"/>
      <c r="J14" s="51">
        <f>575</f>
        <v>575</v>
      </c>
      <c r="K14" s="58">
        <v>5.0347222222222225E-3</v>
      </c>
      <c r="L14" s="59" t="s">
        <v>459</v>
      </c>
      <c r="M14" s="51"/>
      <c r="N14" s="51"/>
      <c r="O14" s="51"/>
      <c r="P14" s="51"/>
      <c r="Q14" s="37" t="str">
        <f t="shared" ca="1" si="0"/>
        <v/>
      </c>
      <c r="R14" s="52"/>
      <c r="S14" s="52"/>
      <c r="T14" s="52"/>
      <c r="U14" s="61"/>
      <c r="V14" s="62"/>
      <c r="W14" s="63"/>
      <c r="X14" s="64"/>
      <c r="Y14" s="51"/>
      <c r="Z14" s="51"/>
      <c r="AA14" s="51"/>
      <c r="AB14" s="51"/>
    </row>
    <row r="15" spans="1:37">
      <c r="A15" s="51">
        <v>270</v>
      </c>
      <c r="B15" s="69" t="s">
        <v>131</v>
      </c>
      <c r="C15" s="61"/>
      <c r="D15" s="51"/>
      <c r="E15" s="51" t="s">
        <v>1126</v>
      </c>
      <c r="F15" s="55" t="s">
        <v>1127</v>
      </c>
      <c r="G15" s="56"/>
      <c r="H15" s="57"/>
      <c r="I15" s="51"/>
      <c r="J15" s="51">
        <f>8.8*1000</f>
        <v>8800</v>
      </c>
      <c r="K15" s="58">
        <v>1.8888888888888889E-2</v>
      </c>
      <c r="L15" s="59" t="s">
        <v>1082</v>
      </c>
      <c r="M15" s="51"/>
      <c r="N15" s="51"/>
      <c r="O15" s="51"/>
      <c r="P15" s="51"/>
      <c r="Q15" s="37" t="str">
        <f t="shared" ca="1" si="0"/>
        <v/>
      </c>
      <c r="R15" s="52"/>
      <c r="S15" s="52"/>
      <c r="T15" s="52"/>
      <c r="U15" s="61"/>
      <c r="V15" s="62"/>
      <c r="W15" s="63"/>
      <c r="X15" s="64"/>
      <c r="Y15" s="18"/>
      <c r="Z15" s="18"/>
      <c r="AA15" s="18"/>
      <c r="AB15" s="18"/>
    </row>
    <row r="16" spans="1:37">
      <c r="A16" s="51">
        <v>271</v>
      </c>
      <c r="B16" s="69" t="s">
        <v>131</v>
      </c>
      <c r="C16" s="61"/>
      <c r="D16" s="51"/>
      <c r="E16" s="51" t="s">
        <v>1128</v>
      </c>
      <c r="F16" s="55" t="s">
        <v>1129</v>
      </c>
      <c r="G16" s="56"/>
      <c r="H16" s="57"/>
      <c r="I16" s="51"/>
      <c r="J16" s="51">
        <f>46*1000</f>
        <v>46000</v>
      </c>
      <c r="K16" s="58">
        <v>3.3611111111111112E-2</v>
      </c>
      <c r="L16" s="59" t="s">
        <v>1082</v>
      </c>
      <c r="M16" s="51"/>
      <c r="N16" s="51"/>
      <c r="O16" s="51"/>
      <c r="P16" s="51"/>
      <c r="Q16" s="37" t="str">
        <f t="shared" ca="1" si="0"/>
        <v/>
      </c>
      <c r="R16" s="52"/>
      <c r="S16" s="52"/>
      <c r="T16" s="52"/>
      <c r="U16" s="61"/>
      <c r="V16" s="62"/>
      <c r="W16" s="63"/>
      <c r="X16" s="64"/>
      <c r="Y16" s="18"/>
      <c r="Z16" s="18"/>
      <c r="AA16" s="18"/>
      <c r="AB16" s="18"/>
    </row>
    <row r="17" spans="1:28">
      <c r="A17" s="51">
        <v>274</v>
      </c>
      <c r="B17" s="69" t="s">
        <v>131</v>
      </c>
      <c r="C17" s="61"/>
      <c r="D17" s="51"/>
      <c r="E17" s="51" t="s">
        <v>1136</v>
      </c>
      <c r="F17" s="55" t="s">
        <v>1137</v>
      </c>
      <c r="G17" s="56"/>
      <c r="H17" s="57"/>
      <c r="I17" s="51"/>
      <c r="J17" s="51">
        <f>4.4*1000</f>
        <v>4400</v>
      </c>
      <c r="K17" s="58">
        <v>2.0902777777777781E-2</v>
      </c>
      <c r="L17" s="59" t="s">
        <v>1082</v>
      </c>
      <c r="M17" s="51"/>
      <c r="N17" s="51"/>
      <c r="O17" s="51"/>
      <c r="P17" s="51"/>
      <c r="Q17" s="37" t="str">
        <f t="shared" ca="1" si="0"/>
        <v/>
      </c>
      <c r="R17" s="52"/>
      <c r="S17" s="52"/>
      <c r="T17" s="52"/>
      <c r="U17" s="61"/>
      <c r="V17" s="62"/>
      <c r="W17" s="63"/>
      <c r="X17" s="64"/>
      <c r="Y17" s="18"/>
      <c r="Z17" s="18"/>
      <c r="AA17" s="18"/>
      <c r="AB17" s="18"/>
    </row>
    <row r="18" spans="1:28">
      <c r="A18" s="51">
        <v>275</v>
      </c>
      <c r="B18" s="69" t="s">
        <v>131</v>
      </c>
      <c r="C18" s="61"/>
      <c r="D18" s="51"/>
      <c r="E18" s="51" t="s">
        <v>1138</v>
      </c>
      <c r="F18" s="55" t="s">
        <v>1139</v>
      </c>
      <c r="G18" s="56"/>
      <c r="H18" s="57"/>
      <c r="I18" s="51"/>
      <c r="J18" s="51">
        <f>4.5*1000</f>
        <v>4500</v>
      </c>
      <c r="K18" s="58">
        <v>2.2083333333333333E-2</v>
      </c>
      <c r="L18" s="59" t="s">
        <v>1082</v>
      </c>
      <c r="M18" s="51"/>
      <c r="N18" s="51"/>
      <c r="O18" s="51"/>
      <c r="P18" s="51"/>
      <c r="Q18" s="37" t="str">
        <f t="shared" ca="1" si="0"/>
        <v/>
      </c>
      <c r="R18" s="52"/>
      <c r="S18" s="52"/>
      <c r="T18" s="52"/>
      <c r="U18" s="61"/>
      <c r="V18" s="62"/>
      <c r="W18" s="63"/>
      <c r="X18" s="64"/>
      <c r="Y18" s="18"/>
      <c r="Z18" s="18"/>
      <c r="AA18" s="18"/>
      <c r="AB18" s="18"/>
    </row>
    <row r="19" spans="1:28">
      <c r="A19" s="51">
        <v>276</v>
      </c>
      <c r="B19" s="69" t="s">
        <v>131</v>
      </c>
      <c r="C19" s="61"/>
      <c r="D19" s="51"/>
      <c r="E19" s="51" t="s">
        <v>1140</v>
      </c>
      <c r="F19" s="55" t="s">
        <v>1141</v>
      </c>
      <c r="G19" s="56"/>
      <c r="H19" s="57"/>
      <c r="I19" s="51"/>
      <c r="J19" s="51">
        <f>4.3*1000</f>
        <v>4300</v>
      </c>
      <c r="K19" s="58">
        <v>5.2430555555555555E-3</v>
      </c>
      <c r="L19" s="59" t="s">
        <v>1082</v>
      </c>
      <c r="M19" s="51"/>
      <c r="N19" s="51"/>
      <c r="O19" s="51"/>
      <c r="P19" s="51"/>
      <c r="Q19" s="37" t="str">
        <f t="shared" ca="1" si="0"/>
        <v/>
      </c>
      <c r="R19" s="52"/>
      <c r="S19" s="52"/>
      <c r="T19" s="52"/>
      <c r="U19" s="61"/>
      <c r="V19" s="62"/>
      <c r="W19" s="63"/>
      <c r="X19" s="64"/>
      <c r="Y19" s="18"/>
      <c r="Z19" s="18"/>
      <c r="AA19" s="18"/>
      <c r="AB19" s="18"/>
    </row>
    <row r="20" spans="1:28">
      <c r="A20" s="51">
        <v>481</v>
      </c>
      <c r="B20" s="69" t="s">
        <v>131</v>
      </c>
      <c r="C20" s="61"/>
      <c r="D20" s="51"/>
      <c r="E20" s="51" t="s">
        <v>1592</v>
      </c>
      <c r="F20" s="55" t="s">
        <v>1593</v>
      </c>
      <c r="G20" s="56"/>
      <c r="H20" s="57"/>
      <c r="I20" s="51"/>
      <c r="J20" s="51">
        <f>3.5*1000</f>
        <v>3500</v>
      </c>
      <c r="K20" s="58">
        <v>7.4884259259259262E-3</v>
      </c>
      <c r="L20" s="59" t="s">
        <v>1162</v>
      </c>
      <c r="M20" s="51"/>
      <c r="N20" s="51"/>
      <c r="O20" s="51"/>
      <c r="P20" s="51"/>
      <c r="Q20" s="37" t="str">
        <f t="shared" ca="1" si="0"/>
        <v/>
      </c>
      <c r="R20" s="52"/>
      <c r="S20" s="52"/>
      <c r="T20" s="52"/>
      <c r="U20" s="61"/>
      <c r="V20" s="62"/>
      <c r="W20" s="63"/>
      <c r="X20" s="64"/>
      <c r="Y20" s="18"/>
      <c r="Z20" s="18"/>
      <c r="AA20" s="18"/>
      <c r="AB20" s="18"/>
    </row>
    <row r="21" spans="1:28">
      <c r="A21" s="51">
        <v>751</v>
      </c>
      <c r="B21" s="69" t="s">
        <v>131</v>
      </c>
      <c r="C21" s="61"/>
      <c r="D21" s="51"/>
      <c r="E21" s="51" t="s">
        <v>2143</v>
      </c>
      <c r="F21" s="55" t="s">
        <v>2144</v>
      </c>
      <c r="G21" s="56"/>
      <c r="H21" s="57"/>
      <c r="I21" s="51"/>
      <c r="J21" s="51">
        <f>6.7*1000</f>
        <v>6700</v>
      </c>
      <c r="K21" s="58">
        <v>8.1655092592592585E-2</v>
      </c>
      <c r="L21" s="59" t="s">
        <v>2140</v>
      </c>
      <c r="M21" s="51"/>
      <c r="N21" s="51"/>
      <c r="O21" s="51"/>
      <c r="P21" s="51"/>
      <c r="Q21" s="37" t="str">
        <f t="shared" ca="1" si="0"/>
        <v/>
      </c>
      <c r="R21" s="52"/>
      <c r="S21" s="52"/>
      <c r="T21" s="52"/>
      <c r="U21" s="61"/>
      <c r="V21" s="62"/>
      <c r="W21" s="63"/>
      <c r="X21" s="64"/>
      <c r="Y21" s="18"/>
      <c r="Z21" s="18"/>
      <c r="AA21" s="18"/>
      <c r="AB21" s="18"/>
    </row>
    <row r="22" spans="1:28">
      <c r="A22" s="110"/>
      <c r="B22" s="111"/>
      <c r="C22" s="111"/>
      <c r="D22" s="111"/>
      <c r="E22" s="111"/>
      <c r="F22" s="111"/>
      <c r="G22" s="111"/>
      <c r="H22" s="111"/>
      <c r="I22" s="111"/>
      <c r="J22" s="111"/>
      <c r="K22" s="111"/>
      <c r="L22" s="111"/>
      <c r="M22" s="111"/>
      <c r="N22" s="111"/>
      <c r="O22" s="111"/>
      <c r="P22" s="111"/>
      <c r="Q22" s="139"/>
      <c r="R22" s="191"/>
      <c r="S22" s="191"/>
      <c r="T22" s="191"/>
      <c r="U22" s="192"/>
      <c r="V22" s="193"/>
      <c r="W22" s="194"/>
      <c r="X22" s="117"/>
      <c r="Y22" s="111"/>
      <c r="Z22" s="111"/>
    </row>
    <row r="23" spans="1:28">
      <c r="A23" s="111"/>
      <c r="B23" s="111"/>
      <c r="C23" s="111"/>
      <c r="D23" s="111"/>
      <c r="E23" s="111"/>
      <c r="F23" s="111"/>
      <c r="G23" s="111"/>
      <c r="H23" s="111"/>
      <c r="I23" s="111"/>
      <c r="J23" s="111"/>
      <c r="K23" s="111"/>
      <c r="L23" s="111"/>
      <c r="M23" s="111"/>
      <c r="N23" s="111"/>
      <c r="O23" s="111"/>
      <c r="P23" s="111"/>
      <c r="Q23" s="139"/>
      <c r="R23" s="191"/>
      <c r="S23" s="191"/>
      <c r="T23" s="191"/>
      <c r="U23" s="192"/>
      <c r="V23" s="193"/>
      <c r="W23" s="194"/>
      <c r="X23" s="117"/>
      <c r="Y23" s="111"/>
      <c r="Z23" s="111"/>
    </row>
    <row r="24" spans="1:28">
      <c r="A24" s="111"/>
      <c r="B24" s="111"/>
      <c r="C24" s="111"/>
      <c r="D24" s="111"/>
      <c r="E24" s="111"/>
      <c r="F24" s="111"/>
      <c r="G24" s="111"/>
      <c r="H24" s="111"/>
      <c r="I24" s="111"/>
      <c r="J24" s="111"/>
      <c r="K24" s="111"/>
      <c r="L24" s="111"/>
      <c r="M24" s="111"/>
      <c r="N24" s="111"/>
      <c r="O24" s="111"/>
      <c r="P24" s="111"/>
      <c r="Q24" s="139"/>
      <c r="R24" s="191"/>
      <c r="S24" s="191"/>
      <c r="T24" s="191"/>
      <c r="U24" s="192"/>
      <c r="V24" s="193"/>
      <c r="W24" s="194"/>
      <c r="X24" s="117"/>
      <c r="Y24" s="111"/>
      <c r="Z24" s="111"/>
    </row>
    <row r="25" spans="1:28">
      <c r="A25" s="111"/>
      <c r="B25" s="111"/>
      <c r="C25" s="111"/>
      <c r="D25" s="111"/>
      <c r="E25" s="111"/>
      <c r="F25" s="111"/>
      <c r="G25" s="111"/>
      <c r="H25" s="111"/>
      <c r="I25" s="111"/>
      <c r="J25" s="111"/>
      <c r="K25" s="111"/>
      <c r="L25" s="111"/>
      <c r="M25" s="111"/>
      <c r="N25" s="111"/>
      <c r="O25" s="111"/>
      <c r="P25" s="111"/>
      <c r="Q25" s="139"/>
      <c r="R25" s="191"/>
      <c r="S25" s="191"/>
      <c r="T25" s="191"/>
      <c r="U25" s="192"/>
      <c r="V25" s="193"/>
      <c r="W25" s="194"/>
      <c r="X25" s="117"/>
      <c r="Y25" s="111"/>
      <c r="Z25" s="111"/>
    </row>
    <row r="26" spans="1:28">
      <c r="A26" s="111"/>
      <c r="B26" s="111"/>
      <c r="C26" s="111"/>
      <c r="D26" s="111"/>
      <c r="E26" s="111"/>
      <c r="F26" s="111"/>
      <c r="G26" s="111"/>
      <c r="H26" s="111"/>
      <c r="I26" s="111"/>
      <c r="J26" s="111"/>
      <c r="K26" s="111"/>
      <c r="L26" s="111"/>
      <c r="M26" s="111"/>
      <c r="N26" s="111"/>
      <c r="O26" s="111"/>
      <c r="P26" s="111"/>
      <c r="Q26" s="139"/>
      <c r="R26" s="191"/>
      <c r="S26" s="191"/>
      <c r="T26" s="191"/>
      <c r="U26" s="192"/>
      <c r="V26" s="193"/>
      <c r="W26" s="194"/>
      <c r="X26" s="117"/>
      <c r="Y26" s="111"/>
      <c r="Z26" s="111"/>
    </row>
    <row r="27" spans="1:28">
      <c r="A27" s="111"/>
      <c r="B27" s="111"/>
      <c r="C27" s="111"/>
      <c r="D27" s="111"/>
      <c r="E27" s="111"/>
      <c r="F27" s="111"/>
      <c r="G27" s="111"/>
      <c r="H27" s="111"/>
      <c r="I27" s="111"/>
      <c r="J27" s="111"/>
      <c r="K27" s="111"/>
      <c r="L27" s="111"/>
      <c r="M27" s="111"/>
      <c r="N27" s="111"/>
      <c r="O27" s="111"/>
      <c r="P27" s="111"/>
      <c r="Q27" s="139"/>
      <c r="R27" s="191"/>
      <c r="S27" s="191"/>
      <c r="T27" s="191"/>
      <c r="U27" s="192"/>
      <c r="V27" s="193"/>
      <c r="W27" s="194"/>
      <c r="X27" s="117"/>
      <c r="Y27" s="111"/>
      <c r="Z27" s="111"/>
    </row>
    <row r="28" spans="1:28">
      <c r="A28" s="111"/>
      <c r="B28" s="111"/>
      <c r="C28" s="111"/>
      <c r="D28" s="111"/>
      <c r="E28" s="111"/>
      <c r="F28" s="111"/>
      <c r="G28" s="111"/>
      <c r="H28" s="111"/>
      <c r="I28" s="111"/>
      <c r="J28" s="111"/>
      <c r="K28" s="111"/>
      <c r="L28" s="111"/>
      <c r="M28" s="111"/>
      <c r="N28" s="111"/>
      <c r="O28" s="111"/>
      <c r="P28" s="111"/>
      <c r="Q28" s="139"/>
      <c r="R28" s="191"/>
      <c r="S28" s="191"/>
      <c r="T28" s="191"/>
      <c r="U28" s="192"/>
      <c r="V28" s="193"/>
      <c r="W28" s="194"/>
      <c r="X28" s="117"/>
      <c r="Y28" s="111"/>
      <c r="Z28" s="111"/>
    </row>
    <row r="29" spans="1:28">
      <c r="A29" s="111"/>
      <c r="B29" s="111"/>
      <c r="C29" s="111"/>
      <c r="D29" s="111"/>
      <c r="E29" s="111"/>
      <c r="F29" s="111"/>
      <c r="G29" s="111"/>
      <c r="H29" s="111"/>
      <c r="I29" s="111"/>
      <c r="J29" s="111"/>
      <c r="K29" s="111"/>
      <c r="L29" s="111"/>
      <c r="M29" s="111"/>
      <c r="N29" s="111"/>
      <c r="O29" s="111"/>
      <c r="P29" s="111"/>
      <c r="Q29" s="139"/>
      <c r="R29" s="191"/>
      <c r="S29" s="191"/>
      <c r="T29" s="191"/>
      <c r="U29" s="192"/>
      <c r="V29" s="193"/>
      <c r="W29" s="194"/>
      <c r="X29" s="117"/>
      <c r="Y29" s="111"/>
      <c r="Z29" s="111"/>
    </row>
    <row r="30" spans="1:28">
      <c r="A30" s="111"/>
      <c r="B30" s="111"/>
      <c r="C30" s="111"/>
      <c r="D30" s="111"/>
      <c r="E30" s="111"/>
      <c r="F30" s="111"/>
      <c r="G30" s="111"/>
      <c r="H30" s="111"/>
      <c r="I30" s="111"/>
      <c r="J30" s="111"/>
      <c r="K30" s="111"/>
      <c r="L30" s="111"/>
      <c r="M30" s="111"/>
      <c r="N30" s="111"/>
      <c r="O30" s="111"/>
      <c r="P30" s="111"/>
      <c r="Q30" s="139"/>
      <c r="R30" s="191"/>
      <c r="S30" s="191"/>
      <c r="T30" s="191"/>
      <c r="U30" s="192"/>
      <c r="V30" s="193"/>
      <c r="W30" s="194"/>
      <c r="X30" s="117"/>
      <c r="Y30" s="111"/>
      <c r="Z30" s="111"/>
    </row>
    <row r="31" spans="1:28">
      <c r="A31" s="111"/>
      <c r="B31" s="111"/>
      <c r="C31" s="111"/>
      <c r="D31" s="111"/>
      <c r="E31" s="111"/>
      <c r="F31" s="111"/>
      <c r="G31" s="111"/>
      <c r="H31" s="111"/>
      <c r="I31" s="111"/>
      <c r="J31" s="111"/>
      <c r="K31" s="111"/>
      <c r="L31" s="111"/>
      <c r="M31" s="111"/>
      <c r="N31" s="111"/>
      <c r="O31" s="111"/>
      <c r="P31" s="111"/>
      <c r="Q31" s="139"/>
      <c r="R31" s="191"/>
      <c r="S31" s="191"/>
      <c r="T31" s="191"/>
      <c r="U31" s="192"/>
      <c r="V31" s="193"/>
      <c r="W31" s="194"/>
      <c r="X31" s="117"/>
      <c r="Y31" s="111"/>
      <c r="Z31" s="111"/>
    </row>
    <row r="32" spans="1:28">
      <c r="A32" s="111"/>
      <c r="B32" s="111"/>
      <c r="C32" s="111"/>
      <c r="D32" s="111"/>
      <c r="E32" s="111"/>
      <c r="F32" s="111"/>
      <c r="G32" s="111"/>
      <c r="H32" s="111"/>
      <c r="I32" s="111"/>
      <c r="J32" s="111"/>
      <c r="K32" s="111"/>
      <c r="L32" s="111"/>
      <c r="M32" s="111"/>
      <c r="N32" s="111"/>
      <c r="O32" s="111"/>
      <c r="P32" s="111"/>
      <c r="Q32" s="139"/>
      <c r="R32" s="191"/>
      <c r="S32" s="191"/>
      <c r="T32" s="191"/>
      <c r="U32" s="192"/>
      <c r="V32" s="193"/>
      <c r="W32" s="194"/>
      <c r="X32" s="117"/>
      <c r="Y32" s="111"/>
      <c r="Z32" s="111"/>
    </row>
    <row r="33" spans="1:26">
      <c r="A33" s="111"/>
      <c r="B33" s="111"/>
      <c r="C33" s="111"/>
      <c r="D33" s="111"/>
      <c r="E33" s="111"/>
      <c r="F33" s="111"/>
      <c r="G33" s="111"/>
      <c r="H33" s="111"/>
      <c r="I33" s="111"/>
      <c r="J33" s="111"/>
      <c r="K33" s="111"/>
      <c r="L33" s="111"/>
      <c r="M33" s="111"/>
      <c r="N33" s="111"/>
      <c r="O33" s="111"/>
      <c r="P33" s="111"/>
      <c r="Q33" s="139"/>
      <c r="R33" s="191"/>
      <c r="S33" s="191"/>
      <c r="T33" s="191"/>
      <c r="U33" s="192"/>
      <c r="V33" s="193"/>
      <c r="W33" s="194"/>
      <c r="X33" s="117"/>
      <c r="Y33" s="111"/>
      <c r="Z33" s="111"/>
    </row>
    <row r="34" spans="1:26">
      <c r="A34" s="111"/>
      <c r="B34" s="111"/>
      <c r="C34" s="111"/>
      <c r="D34" s="111"/>
      <c r="E34" s="111"/>
      <c r="F34" s="111"/>
      <c r="G34" s="111"/>
      <c r="H34" s="111"/>
      <c r="I34" s="111"/>
      <c r="J34" s="111"/>
      <c r="K34" s="111"/>
      <c r="L34" s="111"/>
      <c r="M34" s="111"/>
      <c r="N34" s="111"/>
      <c r="O34" s="111"/>
      <c r="P34" s="111"/>
      <c r="Q34" s="139"/>
      <c r="R34" s="191"/>
      <c r="S34" s="191"/>
      <c r="T34" s="191"/>
      <c r="U34" s="192"/>
      <c r="V34" s="193"/>
      <c r="W34" s="194"/>
      <c r="X34" s="117"/>
      <c r="Y34" s="111"/>
      <c r="Z34" s="111"/>
    </row>
    <row r="35" spans="1:26">
      <c r="A35" s="111"/>
      <c r="B35" s="111"/>
      <c r="C35" s="111"/>
      <c r="D35" s="111"/>
      <c r="E35" s="111"/>
      <c r="F35" s="111"/>
      <c r="G35" s="111"/>
      <c r="H35" s="111"/>
      <c r="I35" s="111"/>
      <c r="J35" s="111"/>
      <c r="K35" s="111"/>
      <c r="L35" s="111"/>
      <c r="M35" s="111"/>
      <c r="N35" s="111"/>
      <c r="O35" s="111"/>
      <c r="P35" s="111"/>
      <c r="Q35" s="139"/>
      <c r="R35" s="191"/>
      <c r="S35" s="191"/>
      <c r="T35" s="191"/>
      <c r="U35" s="192"/>
      <c r="V35" s="193"/>
      <c r="W35" s="194"/>
      <c r="X35" s="117"/>
      <c r="Y35" s="111"/>
      <c r="Z35" s="111"/>
    </row>
    <row r="36" spans="1:26">
      <c r="A36" s="111"/>
      <c r="B36" s="111"/>
      <c r="C36" s="111"/>
      <c r="D36" s="111"/>
      <c r="E36" s="111"/>
      <c r="F36" s="111"/>
      <c r="G36" s="111"/>
      <c r="H36" s="111"/>
      <c r="I36" s="111"/>
      <c r="J36" s="111"/>
      <c r="K36" s="111"/>
      <c r="L36" s="111"/>
      <c r="M36" s="111"/>
      <c r="N36" s="111"/>
      <c r="O36" s="111"/>
      <c r="P36" s="111"/>
      <c r="Q36" s="139"/>
      <c r="R36" s="191"/>
      <c r="S36" s="191"/>
      <c r="T36" s="191"/>
      <c r="U36" s="192"/>
      <c r="V36" s="193"/>
      <c r="W36" s="194"/>
      <c r="X36" s="117"/>
      <c r="Y36" s="111"/>
      <c r="Z36" s="111"/>
    </row>
    <row r="37" spans="1:26">
      <c r="A37" s="111"/>
      <c r="B37" s="111"/>
      <c r="C37" s="111"/>
      <c r="D37" s="111"/>
      <c r="E37" s="111"/>
      <c r="F37" s="111"/>
      <c r="G37" s="111"/>
      <c r="H37" s="111"/>
      <c r="I37" s="111"/>
      <c r="J37" s="111"/>
      <c r="K37" s="111"/>
      <c r="L37" s="111"/>
      <c r="M37" s="111"/>
      <c r="N37" s="111"/>
      <c r="O37" s="111"/>
      <c r="P37" s="111"/>
      <c r="Q37" s="139"/>
      <c r="R37" s="191"/>
      <c r="S37" s="191"/>
      <c r="T37" s="191"/>
      <c r="U37" s="192"/>
      <c r="V37" s="193"/>
      <c r="W37" s="194"/>
      <c r="X37" s="117"/>
      <c r="Y37" s="111"/>
      <c r="Z37" s="111"/>
    </row>
    <row r="38" spans="1:26">
      <c r="A38" s="111"/>
      <c r="B38" s="111"/>
      <c r="C38" s="111"/>
      <c r="D38" s="111"/>
      <c r="E38" s="111"/>
      <c r="F38" s="111"/>
      <c r="G38" s="111"/>
      <c r="H38" s="111"/>
      <c r="I38" s="111"/>
      <c r="J38" s="111"/>
      <c r="K38" s="111"/>
      <c r="L38" s="111"/>
      <c r="M38" s="111"/>
      <c r="N38" s="111"/>
      <c r="O38" s="111"/>
      <c r="P38" s="111"/>
      <c r="Q38" s="139"/>
      <c r="R38" s="191"/>
      <c r="S38" s="191"/>
      <c r="T38" s="191"/>
      <c r="U38" s="192"/>
      <c r="V38" s="193"/>
      <c r="W38" s="194"/>
      <c r="X38" s="117"/>
      <c r="Y38" s="111"/>
      <c r="Z38" s="111"/>
    </row>
    <row r="39" spans="1:26">
      <c r="A39" s="111"/>
      <c r="B39" s="111"/>
      <c r="C39" s="111"/>
      <c r="D39" s="111"/>
      <c r="E39" s="111"/>
      <c r="F39" s="111"/>
      <c r="G39" s="111"/>
      <c r="H39" s="111"/>
      <c r="I39" s="111"/>
      <c r="J39" s="111"/>
      <c r="K39" s="111"/>
      <c r="L39" s="111"/>
      <c r="M39" s="111"/>
      <c r="N39" s="111"/>
      <c r="O39" s="111"/>
      <c r="P39" s="111"/>
      <c r="Q39" s="139"/>
      <c r="R39" s="191"/>
      <c r="S39" s="191"/>
      <c r="T39" s="191"/>
      <c r="U39" s="192"/>
      <c r="V39" s="193"/>
      <c r="W39" s="194"/>
      <c r="X39" s="117"/>
      <c r="Y39" s="111"/>
      <c r="Z39" s="111"/>
    </row>
    <row r="40" spans="1:26">
      <c r="A40" s="111"/>
      <c r="B40" s="111"/>
      <c r="C40" s="111"/>
      <c r="D40" s="111"/>
      <c r="E40" s="111"/>
      <c r="F40" s="111"/>
      <c r="G40" s="111"/>
      <c r="H40" s="111"/>
      <c r="I40" s="111"/>
      <c r="J40" s="111"/>
      <c r="K40" s="111"/>
      <c r="L40" s="111"/>
      <c r="M40" s="111"/>
      <c r="N40" s="111"/>
      <c r="O40" s="111"/>
      <c r="P40" s="111"/>
      <c r="Q40" s="139"/>
      <c r="R40" s="191"/>
      <c r="S40" s="191"/>
      <c r="T40" s="191"/>
      <c r="U40" s="192"/>
      <c r="V40" s="193"/>
      <c r="W40" s="194"/>
      <c r="X40" s="117"/>
      <c r="Y40" s="111"/>
      <c r="Z40" s="111"/>
    </row>
    <row r="41" spans="1:26">
      <c r="A41" s="111"/>
      <c r="B41" s="111"/>
      <c r="C41" s="111"/>
      <c r="D41" s="111"/>
      <c r="E41" s="111"/>
      <c r="F41" s="111"/>
      <c r="G41" s="111"/>
      <c r="H41" s="111"/>
      <c r="I41" s="111"/>
      <c r="J41" s="111"/>
      <c r="K41" s="111"/>
      <c r="L41" s="111"/>
      <c r="M41" s="111"/>
      <c r="N41" s="111"/>
      <c r="O41" s="111"/>
      <c r="P41" s="111"/>
      <c r="Q41" s="139"/>
      <c r="R41" s="191"/>
      <c r="S41" s="191"/>
      <c r="T41" s="191"/>
      <c r="U41" s="192"/>
      <c r="V41" s="193"/>
      <c r="W41" s="194"/>
      <c r="X41" s="117"/>
      <c r="Y41" s="111"/>
      <c r="Z41" s="111"/>
    </row>
    <row r="42" spans="1:26">
      <c r="A42" s="111"/>
      <c r="B42" s="111"/>
      <c r="C42" s="111"/>
      <c r="D42" s="111"/>
      <c r="E42" s="111"/>
      <c r="F42" s="111"/>
      <c r="G42" s="111"/>
      <c r="H42" s="111"/>
      <c r="I42" s="111"/>
      <c r="J42" s="111"/>
      <c r="K42" s="111"/>
      <c r="L42" s="111"/>
      <c r="M42" s="111"/>
      <c r="N42" s="111"/>
      <c r="O42" s="111"/>
      <c r="P42" s="111"/>
      <c r="Q42" s="139"/>
      <c r="R42" s="191"/>
      <c r="S42" s="191"/>
      <c r="T42" s="191"/>
      <c r="U42" s="192"/>
      <c r="V42" s="193"/>
      <c r="W42" s="194"/>
      <c r="X42" s="117"/>
      <c r="Y42" s="111"/>
      <c r="Z42" s="111"/>
    </row>
    <row r="43" spans="1:26">
      <c r="A43" s="111"/>
      <c r="B43" s="111"/>
      <c r="C43" s="111"/>
      <c r="D43" s="111"/>
      <c r="E43" s="111"/>
      <c r="F43" s="111"/>
      <c r="G43" s="111"/>
      <c r="H43" s="111"/>
      <c r="I43" s="111"/>
      <c r="J43" s="111"/>
      <c r="K43" s="111"/>
      <c r="L43" s="111"/>
      <c r="M43" s="111"/>
      <c r="N43" s="111"/>
      <c r="O43" s="111"/>
      <c r="P43" s="111"/>
      <c r="Q43" s="139"/>
      <c r="R43" s="191"/>
      <c r="S43" s="191"/>
      <c r="T43" s="191"/>
      <c r="U43" s="192"/>
      <c r="V43" s="193"/>
      <c r="W43" s="194"/>
      <c r="X43" s="117"/>
      <c r="Y43" s="111"/>
      <c r="Z43" s="111"/>
    </row>
    <row r="44" spans="1:26">
      <c r="A44" s="111"/>
      <c r="B44" s="111"/>
      <c r="C44" s="111"/>
      <c r="D44" s="111"/>
      <c r="E44" s="111"/>
      <c r="F44" s="111"/>
      <c r="G44" s="111"/>
      <c r="H44" s="111"/>
      <c r="I44" s="111"/>
      <c r="J44" s="111"/>
      <c r="K44" s="111"/>
      <c r="L44" s="111"/>
      <c r="M44" s="111"/>
      <c r="N44" s="111"/>
      <c r="O44" s="111"/>
      <c r="P44" s="111"/>
      <c r="Q44" s="139"/>
      <c r="R44" s="191"/>
      <c r="S44" s="191"/>
      <c r="T44" s="191"/>
      <c r="U44" s="192"/>
      <c r="V44" s="193"/>
      <c r="W44" s="194"/>
      <c r="X44" s="117"/>
      <c r="Y44" s="111"/>
      <c r="Z44" s="111"/>
    </row>
    <row r="45" spans="1:26">
      <c r="A45" s="111"/>
      <c r="B45" s="111"/>
      <c r="C45" s="111"/>
      <c r="D45" s="111"/>
      <c r="E45" s="111"/>
      <c r="F45" s="111"/>
      <c r="G45" s="111"/>
      <c r="H45" s="111"/>
      <c r="I45" s="111"/>
      <c r="J45" s="111"/>
      <c r="K45" s="111"/>
      <c r="L45" s="111"/>
      <c r="M45" s="111"/>
      <c r="N45" s="111"/>
      <c r="O45" s="111"/>
      <c r="P45" s="111"/>
      <c r="Q45" s="139"/>
      <c r="R45" s="191"/>
      <c r="S45" s="191"/>
      <c r="T45" s="191"/>
      <c r="U45" s="192"/>
      <c r="V45" s="193"/>
      <c r="W45" s="194"/>
      <c r="X45" s="117"/>
      <c r="Y45" s="111"/>
      <c r="Z45" s="111"/>
    </row>
    <row r="46" spans="1:26">
      <c r="A46" s="111"/>
      <c r="B46" s="111"/>
      <c r="C46" s="111"/>
      <c r="D46" s="111"/>
      <c r="E46" s="111"/>
      <c r="F46" s="111"/>
      <c r="G46" s="111"/>
      <c r="H46" s="111"/>
      <c r="I46" s="111"/>
      <c r="J46" s="111"/>
      <c r="K46" s="111"/>
      <c r="L46" s="111"/>
      <c r="M46" s="111"/>
      <c r="N46" s="111"/>
      <c r="O46" s="111"/>
      <c r="P46" s="111"/>
      <c r="Q46" s="139"/>
      <c r="R46" s="191"/>
      <c r="S46" s="191"/>
      <c r="T46" s="191"/>
      <c r="U46" s="192"/>
      <c r="V46" s="193"/>
      <c r="W46" s="194"/>
      <c r="X46" s="117"/>
      <c r="Y46" s="111"/>
      <c r="Z46" s="111"/>
    </row>
    <row r="47" spans="1:26">
      <c r="A47" s="111"/>
      <c r="B47" s="111"/>
      <c r="C47" s="111"/>
      <c r="D47" s="111"/>
      <c r="E47" s="111"/>
      <c r="F47" s="111"/>
      <c r="G47" s="111"/>
      <c r="H47" s="111"/>
      <c r="I47" s="111"/>
      <c r="J47" s="111"/>
      <c r="K47" s="111"/>
      <c r="L47" s="111"/>
      <c r="M47" s="111"/>
      <c r="N47" s="111"/>
      <c r="O47" s="111"/>
      <c r="P47" s="111"/>
      <c r="Q47" s="139"/>
      <c r="R47" s="191"/>
      <c r="S47" s="191"/>
      <c r="T47" s="191"/>
      <c r="U47" s="192"/>
      <c r="V47" s="193"/>
      <c r="W47" s="194"/>
      <c r="X47" s="117"/>
      <c r="Y47" s="111"/>
      <c r="Z47" s="111"/>
    </row>
    <row r="48" spans="1:26">
      <c r="A48" s="111"/>
      <c r="B48" s="111"/>
      <c r="C48" s="111"/>
      <c r="D48" s="111"/>
      <c r="E48" s="111"/>
      <c r="F48" s="111"/>
      <c r="G48" s="111"/>
      <c r="H48" s="111"/>
      <c r="I48" s="111"/>
      <c r="J48" s="111"/>
      <c r="K48" s="111"/>
      <c r="L48" s="111"/>
      <c r="M48" s="111"/>
      <c r="N48" s="111"/>
      <c r="O48" s="111"/>
      <c r="P48" s="111"/>
      <c r="Q48" s="139"/>
      <c r="R48" s="191"/>
      <c r="S48" s="191"/>
      <c r="T48" s="191"/>
      <c r="U48" s="192"/>
      <c r="V48" s="193"/>
      <c r="W48" s="194"/>
      <c r="X48" s="117"/>
      <c r="Y48" s="111"/>
      <c r="Z48" s="111"/>
    </row>
    <row r="49" spans="1:26">
      <c r="A49" s="111"/>
      <c r="B49" s="111"/>
      <c r="C49" s="111"/>
      <c r="D49" s="111"/>
      <c r="E49" s="111"/>
      <c r="F49" s="111"/>
      <c r="G49" s="111"/>
      <c r="H49" s="111"/>
      <c r="I49" s="111"/>
      <c r="J49" s="111"/>
      <c r="K49" s="111"/>
      <c r="L49" s="111"/>
      <c r="M49" s="111"/>
      <c r="N49" s="111"/>
      <c r="O49" s="111"/>
      <c r="P49" s="111"/>
      <c r="Q49" s="139"/>
      <c r="R49" s="191"/>
      <c r="S49" s="191"/>
      <c r="T49" s="191"/>
      <c r="U49" s="192"/>
      <c r="V49" s="193"/>
      <c r="W49" s="194"/>
      <c r="X49" s="117"/>
      <c r="Y49" s="111"/>
      <c r="Z49" s="111"/>
    </row>
    <row r="50" spans="1:26">
      <c r="A50" s="111"/>
      <c r="B50" s="111"/>
      <c r="C50" s="111"/>
      <c r="D50" s="111"/>
      <c r="E50" s="111"/>
      <c r="F50" s="111"/>
      <c r="G50" s="111"/>
      <c r="H50" s="111"/>
      <c r="I50" s="111"/>
      <c r="J50" s="111"/>
      <c r="K50" s="111"/>
      <c r="L50" s="111"/>
      <c r="M50" s="111"/>
      <c r="N50" s="111"/>
      <c r="O50" s="111"/>
      <c r="P50" s="111"/>
      <c r="Q50" s="139"/>
      <c r="R50" s="191"/>
      <c r="S50" s="191"/>
      <c r="T50" s="191"/>
      <c r="U50" s="192"/>
      <c r="V50" s="193"/>
      <c r="W50" s="194"/>
      <c r="X50" s="117"/>
      <c r="Y50" s="111"/>
      <c r="Z50" s="111"/>
    </row>
    <row r="51" spans="1:26">
      <c r="A51" s="111"/>
      <c r="B51" s="111"/>
      <c r="C51" s="111"/>
      <c r="D51" s="111"/>
      <c r="E51" s="111"/>
      <c r="F51" s="111"/>
      <c r="G51" s="111"/>
      <c r="H51" s="111"/>
      <c r="I51" s="111"/>
      <c r="J51" s="111"/>
      <c r="K51" s="111"/>
      <c r="L51" s="111"/>
      <c r="M51" s="111"/>
      <c r="N51" s="111"/>
      <c r="O51" s="111"/>
      <c r="P51" s="111"/>
      <c r="Q51" s="139"/>
      <c r="R51" s="191"/>
      <c r="S51" s="191"/>
      <c r="T51" s="191"/>
      <c r="U51" s="192"/>
      <c r="V51" s="193"/>
      <c r="W51" s="194"/>
      <c r="X51" s="117"/>
      <c r="Y51" s="111"/>
      <c r="Z51" s="111"/>
    </row>
    <row r="52" spans="1:26">
      <c r="A52" s="111"/>
      <c r="B52" s="111"/>
      <c r="C52" s="111"/>
      <c r="D52" s="111"/>
      <c r="E52" s="111"/>
      <c r="F52" s="111"/>
      <c r="G52" s="111"/>
      <c r="H52" s="111"/>
      <c r="I52" s="111"/>
      <c r="J52" s="111"/>
      <c r="K52" s="111"/>
      <c r="L52" s="111"/>
      <c r="M52" s="111"/>
      <c r="N52" s="111"/>
      <c r="O52" s="111"/>
      <c r="P52" s="111"/>
      <c r="Q52" s="139"/>
      <c r="R52" s="191"/>
      <c r="S52" s="191"/>
      <c r="T52" s="191"/>
      <c r="U52" s="192"/>
      <c r="V52" s="193"/>
      <c r="W52" s="194"/>
      <c r="X52" s="117"/>
      <c r="Y52" s="111"/>
      <c r="Z52" s="111"/>
    </row>
    <row r="53" spans="1:26">
      <c r="A53" s="111"/>
      <c r="B53" s="111"/>
      <c r="C53" s="111"/>
      <c r="D53" s="111"/>
      <c r="E53" s="111"/>
      <c r="F53" s="111"/>
      <c r="G53" s="111"/>
      <c r="H53" s="111"/>
      <c r="I53" s="111"/>
      <c r="J53" s="111"/>
      <c r="K53" s="111"/>
      <c r="L53" s="111"/>
      <c r="M53" s="111"/>
      <c r="N53" s="111"/>
      <c r="O53" s="111"/>
      <c r="P53" s="111"/>
      <c r="Q53" s="139"/>
      <c r="R53" s="191"/>
      <c r="S53" s="191"/>
      <c r="T53" s="191"/>
      <c r="U53" s="192"/>
      <c r="V53" s="193"/>
      <c r="W53" s="194"/>
      <c r="X53" s="117"/>
      <c r="Y53" s="111"/>
      <c r="Z53" s="111"/>
    </row>
    <row r="54" spans="1:26">
      <c r="A54" s="111"/>
      <c r="B54" s="111"/>
      <c r="C54" s="111"/>
      <c r="D54" s="111"/>
      <c r="E54" s="111"/>
      <c r="F54" s="111"/>
      <c r="G54" s="111"/>
      <c r="H54" s="111"/>
      <c r="I54" s="111"/>
      <c r="J54" s="111"/>
      <c r="K54" s="111"/>
      <c r="L54" s="111"/>
      <c r="M54" s="111"/>
      <c r="N54" s="111"/>
      <c r="O54" s="111"/>
      <c r="P54" s="111"/>
      <c r="Q54" s="139"/>
      <c r="R54" s="191"/>
      <c r="S54" s="191"/>
      <c r="T54" s="191"/>
      <c r="U54" s="192"/>
      <c r="V54" s="193"/>
      <c r="W54" s="194"/>
      <c r="X54" s="117"/>
      <c r="Y54" s="111"/>
      <c r="Z54" s="111"/>
    </row>
    <row r="55" spans="1:26">
      <c r="A55" s="111"/>
      <c r="B55" s="111"/>
      <c r="C55" s="111"/>
      <c r="D55" s="111"/>
      <c r="E55" s="111"/>
      <c r="F55" s="111"/>
      <c r="G55" s="111"/>
      <c r="H55" s="111"/>
      <c r="I55" s="111"/>
      <c r="J55" s="111"/>
      <c r="K55" s="111"/>
      <c r="L55" s="111"/>
      <c r="M55" s="111"/>
      <c r="N55" s="111"/>
      <c r="O55" s="111"/>
      <c r="P55" s="111"/>
      <c r="Q55" s="139"/>
      <c r="R55" s="191"/>
      <c r="S55" s="191"/>
      <c r="T55" s="191"/>
      <c r="U55" s="192"/>
      <c r="V55" s="193"/>
      <c r="W55" s="194"/>
      <c r="X55" s="117"/>
      <c r="Y55" s="111"/>
      <c r="Z55" s="111"/>
    </row>
    <row r="56" spans="1:26">
      <c r="A56" s="111"/>
      <c r="B56" s="111"/>
      <c r="C56" s="111"/>
      <c r="D56" s="111"/>
      <c r="E56" s="111"/>
      <c r="F56" s="111"/>
      <c r="G56" s="111"/>
      <c r="H56" s="111"/>
      <c r="I56" s="111"/>
      <c r="J56" s="111"/>
      <c r="K56" s="111"/>
      <c r="L56" s="111"/>
      <c r="M56" s="111"/>
      <c r="N56" s="111"/>
      <c r="O56" s="111"/>
      <c r="P56" s="111"/>
      <c r="Q56" s="139"/>
      <c r="R56" s="191"/>
      <c r="S56" s="191"/>
      <c r="T56" s="191"/>
      <c r="U56" s="192"/>
      <c r="V56" s="193"/>
      <c r="W56" s="194"/>
      <c r="X56" s="117"/>
      <c r="Y56" s="111"/>
      <c r="Z56" s="111"/>
    </row>
    <row r="57" spans="1:26">
      <c r="A57" s="111"/>
      <c r="B57" s="111"/>
      <c r="C57" s="111"/>
      <c r="D57" s="111"/>
      <c r="E57" s="111"/>
      <c r="F57" s="111"/>
      <c r="G57" s="111"/>
      <c r="H57" s="111"/>
      <c r="I57" s="111"/>
      <c r="J57" s="111"/>
      <c r="K57" s="111"/>
      <c r="L57" s="111"/>
      <c r="M57" s="111"/>
      <c r="N57" s="111"/>
      <c r="O57" s="111"/>
      <c r="P57" s="111"/>
      <c r="Q57" s="139"/>
      <c r="R57" s="191"/>
      <c r="S57" s="191"/>
      <c r="T57" s="191"/>
      <c r="U57" s="192"/>
      <c r="V57" s="193"/>
      <c r="W57" s="194"/>
      <c r="X57" s="117"/>
      <c r="Y57" s="111"/>
      <c r="Z57" s="111"/>
    </row>
    <row r="58" spans="1:26">
      <c r="A58" s="111"/>
      <c r="B58" s="111"/>
      <c r="C58" s="111"/>
      <c r="D58" s="111"/>
      <c r="E58" s="111"/>
      <c r="F58" s="111"/>
      <c r="G58" s="111"/>
      <c r="H58" s="111"/>
      <c r="I58" s="111"/>
      <c r="J58" s="111"/>
      <c r="K58" s="111"/>
      <c r="L58" s="111"/>
      <c r="M58" s="111"/>
      <c r="N58" s="111"/>
      <c r="O58" s="111"/>
      <c r="P58" s="111"/>
      <c r="Q58" s="139"/>
      <c r="R58" s="191"/>
      <c r="S58" s="191"/>
      <c r="T58" s="191"/>
      <c r="U58" s="192"/>
      <c r="V58" s="193"/>
      <c r="W58" s="194"/>
      <c r="X58" s="117"/>
      <c r="Y58" s="111"/>
      <c r="Z58" s="111"/>
    </row>
    <row r="59" spans="1:26">
      <c r="A59" s="111"/>
      <c r="B59" s="111"/>
      <c r="C59" s="111"/>
      <c r="D59" s="111"/>
      <c r="E59" s="111"/>
      <c r="F59" s="111"/>
      <c r="G59" s="111"/>
      <c r="H59" s="111"/>
      <c r="I59" s="111"/>
      <c r="J59" s="111"/>
      <c r="K59" s="111"/>
      <c r="L59" s="111"/>
      <c r="M59" s="111"/>
      <c r="N59" s="111"/>
      <c r="O59" s="111"/>
      <c r="P59" s="111"/>
      <c r="Q59" s="139"/>
      <c r="R59" s="191"/>
      <c r="S59" s="191"/>
      <c r="T59" s="191"/>
      <c r="U59" s="192"/>
      <c r="V59" s="193"/>
      <c r="W59" s="194"/>
      <c r="X59" s="117"/>
      <c r="Y59" s="111"/>
      <c r="Z59" s="111"/>
    </row>
    <row r="60" spans="1:26">
      <c r="A60" s="111"/>
      <c r="B60" s="111"/>
      <c r="C60" s="111"/>
      <c r="D60" s="111"/>
      <c r="E60" s="111"/>
      <c r="F60" s="111"/>
      <c r="G60" s="111"/>
      <c r="H60" s="111"/>
      <c r="I60" s="111"/>
      <c r="J60" s="111"/>
      <c r="K60" s="111"/>
      <c r="L60" s="111"/>
      <c r="M60" s="111"/>
      <c r="N60" s="111"/>
      <c r="O60" s="111"/>
      <c r="P60" s="111"/>
      <c r="Q60" s="139"/>
      <c r="R60" s="191"/>
      <c r="S60" s="191"/>
      <c r="T60" s="191"/>
      <c r="U60" s="192"/>
      <c r="V60" s="193"/>
      <c r="W60" s="194"/>
      <c r="X60" s="117"/>
      <c r="Y60" s="111"/>
      <c r="Z60" s="111"/>
    </row>
    <row r="61" spans="1:26">
      <c r="A61" s="111"/>
      <c r="B61" s="111"/>
      <c r="C61" s="111"/>
      <c r="D61" s="111"/>
      <c r="E61" s="111"/>
      <c r="F61" s="111"/>
      <c r="G61" s="111"/>
      <c r="H61" s="111"/>
      <c r="I61" s="111"/>
      <c r="J61" s="111"/>
      <c r="K61" s="111"/>
      <c r="L61" s="111"/>
      <c r="M61" s="111"/>
      <c r="N61" s="111"/>
      <c r="O61" s="111"/>
      <c r="P61" s="111"/>
      <c r="Q61" s="139"/>
      <c r="R61" s="191"/>
      <c r="S61" s="191"/>
      <c r="T61" s="191"/>
      <c r="U61" s="192"/>
      <c r="V61" s="193"/>
      <c r="W61" s="194"/>
      <c r="X61" s="117"/>
      <c r="Y61" s="111"/>
      <c r="Z61" s="111"/>
    </row>
    <row r="62" spans="1:26">
      <c r="A62" s="111"/>
      <c r="B62" s="111"/>
      <c r="C62" s="111"/>
      <c r="D62" s="111"/>
      <c r="E62" s="111"/>
      <c r="F62" s="111"/>
      <c r="G62" s="111"/>
      <c r="H62" s="111"/>
      <c r="I62" s="111"/>
      <c r="J62" s="111"/>
      <c r="K62" s="111"/>
      <c r="L62" s="111"/>
      <c r="M62" s="111"/>
      <c r="N62" s="111"/>
      <c r="O62" s="111"/>
      <c r="P62" s="111"/>
      <c r="Q62" s="139"/>
      <c r="R62" s="191"/>
      <c r="S62" s="191"/>
      <c r="T62" s="191"/>
      <c r="U62" s="192"/>
      <c r="V62" s="193"/>
      <c r="W62" s="194"/>
      <c r="X62" s="117"/>
      <c r="Y62" s="111"/>
      <c r="Z62" s="111"/>
    </row>
    <row r="63" spans="1:26">
      <c r="A63" s="111"/>
      <c r="B63" s="111"/>
      <c r="C63" s="111"/>
      <c r="D63" s="111"/>
      <c r="E63" s="111"/>
      <c r="F63" s="111"/>
      <c r="G63" s="111"/>
      <c r="H63" s="111"/>
      <c r="I63" s="111"/>
      <c r="J63" s="111"/>
      <c r="K63" s="111"/>
      <c r="L63" s="111"/>
      <c r="M63" s="111"/>
      <c r="N63" s="111"/>
      <c r="O63" s="111"/>
      <c r="P63" s="111"/>
      <c r="Q63" s="139"/>
      <c r="R63" s="191"/>
      <c r="S63" s="191"/>
      <c r="T63" s="191"/>
      <c r="U63" s="192"/>
      <c r="V63" s="193"/>
      <c r="W63" s="194"/>
      <c r="X63" s="117"/>
      <c r="Y63" s="111"/>
      <c r="Z63" s="111"/>
    </row>
    <row r="64" spans="1:26">
      <c r="A64" s="111"/>
      <c r="B64" s="111"/>
      <c r="C64" s="111"/>
      <c r="D64" s="111"/>
      <c r="E64" s="111"/>
      <c r="F64" s="111"/>
      <c r="G64" s="111"/>
      <c r="H64" s="111"/>
      <c r="I64" s="111"/>
      <c r="J64" s="111"/>
      <c r="K64" s="111"/>
      <c r="L64" s="111"/>
      <c r="M64" s="111"/>
      <c r="N64" s="111"/>
      <c r="O64" s="111"/>
      <c r="P64" s="111"/>
      <c r="Q64" s="139"/>
      <c r="R64" s="191"/>
      <c r="S64" s="191"/>
      <c r="T64" s="191"/>
      <c r="U64" s="192"/>
      <c r="V64" s="193"/>
      <c r="W64" s="194"/>
      <c r="X64" s="117"/>
      <c r="Y64" s="111"/>
      <c r="Z64" s="111"/>
    </row>
    <row r="65" spans="1:26">
      <c r="A65" s="111"/>
      <c r="B65" s="111"/>
      <c r="C65" s="111"/>
      <c r="D65" s="111"/>
      <c r="E65" s="111"/>
      <c r="F65" s="111"/>
      <c r="G65" s="111"/>
      <c r="H65" s="111"/>
      <c r="I65" s="111"/>
      <c r="J65" s="111"/>
      <c r="K65" s="111"/>
      <c r="L65" s="111"/>
      <c r="M65" s="111"/>
      <c r="N65" s="111"/>
      <c r="O65" s="111"/>
      <c r="P65" s="111"/>
      <c r="Q65" s="139"/>
      <c r="R65" s="191"/>
      <c r="S65" s="191"/>
      <c r="T65" s="191"/>
      <c r="U65" s="192"/>
      <c r="V65" s="193"/>
      <c r="W65" s="194"/>
      <c r="X65" s="117"/>
      <c r="Y65" s="111"/>
      <c r="Z65" s="111"/>
    </row>
    <row r="66" spans="1:26">
      <c r="A66" s="111"/>
      <c r="B66" s="111"/>
      <c r="C66" s="111"/>
      <c r="D66" s="111"/>
      <c r="E66" s="111"/>
      <c r="F66" s="111"/>
      <c r="G66" s="111"/>
      <c r="H66" s="111"/>
      <c r="I66" s="111"/>
      <c r="J66" s="111"/>
      <c r="K66" s="111"/>
      <c r="L66" s="111"/>
      <c r="M66" s="111"/>
      <c r="N66" s="111"/>
      <c r="O66" s="111"/>
      <c r="P66" s="111"/>
      <c r="Q66" s="139"/>
      <c r="R66" s="191"/>
      <c r="S66" s="191"/>
      <c r="T66" s="191"/>
      <c r="U66" s="192"/>
      <c r="V66" s="193"/>
      <c r="W66" s="194"/>
      <c r="X66" s="117"/>
      <c r="Y66" s="111"/>
      <c r="Z66" s="111"/>
    </row>
    <row r="67" spans="1:26">
      <c r="A67" s="111"/>
      <c r="B67" s="111"/>
      <c r="C67" s="111"/>
      <c r="D67" s="111"/>
      <c r="E67" s="111"/>
      <c r="F67" s="111"/>
      <c r="G67" s="111"/>
      <c r="H67" s="111"/>
      <c r="I67" s="111"/>
      <c r="J67" s="111"/>
      <c r="K67" s="111"/>
      <c r="L67" s="111"/>
      <c r="M67" s="111"/>
      <c r="N67" s="111"/>
      <c r="O67" s="111"/>
      <c r="P67" s="111"/>
      <c r="Q67" s="139"/>
      <c r="R67" s="191"/>
      <c r="S67" s="191"/>
      <c r="T67" s="191"/>
      <c r="U67" s="192"/>
      <c r="V67" s="193"/>
      <c r="W67" s="194"/>
      <c r="X67" s="117"/>
      <c r="Y67" s="111"/>
      <c r="Z67" s="111"/>
    </row>
    <row r="68" spans="1:26">
      <c r="A68" s="111"/>
      <c r="B68" s="111"/>
      <c r="C68" s="111"/>
      <c r="D68" s="111"/>
      <c r="E68" s="111"/>
      <c r="F68" s="111"/>
      <c r="G68" s="111"/>
      <c r="H68" s="111"/>
      <c r="I68" s="111"/>
      <c r="J68" s="111"/>
      <c r="K68" s="111"/>
      <c r="L68" s="111"/>
      <c r="M68" s="111"/>
      <c r="N68" s="111"/>
      <c r="O68" s="111"/>
      <c r="P68" s="111"/>
      <c r="Q68" s="139"/>
      <c r="R68" s="191"/>
      <c r="S68" s="191"/>
      <c r="T68" s="191"/>
      <c r="U68" s="192"/>
      <c r="V68" s="193"/>
      <c r="W68" s="194"/>
      <c r="X68" s="117"/>
      <c r="Y68" s="111"/>
      <c r="Z68" s="111"/>
    </row>
    <row r="69" spans="1:26">
      <c r="A69" s="111"/>
      <c r="B69" s="111"/>
      <c r="C69" s="111"/>
      <c r="D69" s="111"/>
      <c r="E69" s="111"/>
      <c r="F69" s="111"/>
      <c r="G69" s="111"/>
      <c r="H69" s="111"/>
      <c r="I69" s="111"/>
      <c r="J69" s="111"/>
      <c r="K69" s="111"/>
      <c r="L69" s="111"/>
      <c r="M69" s="111"/>
      <c r="N69" s="111"/>
      <c r="O69" s="111"/>
      <c r="P69" s="111"/>
      <c r="Q69" s="139"/>
      <c r="R69" s="191"/>
      <c r="S69" s="191"/>
      <c r="T69" s="191"/>
      <c r="U69" s="192"/>
      <c r="V69" s="193"/>
      <c r="W69" s="194"/>
      <c r="X69" s="117"/>
      <c r="Y69" s="111"/>
      <c r="Z69" s="111"/>
    </row>
    <row r="70" spans="1:26">
      <c r="A70" s="111"/>
      <c r="B70" s="111"/>
      <c r="C70" s="111"/>
      <c r="D70" s="111"/>
      <c r="E70" s="111"/>
      <c r="F70" s="111"/>
      <c r="G70" s="111"/>
      <c r="H70" s="111"/>
      <c r="I70" s="111"/>
      <c r="J70" s="111"/>
      <c r="K70" s="111"/>
      <c r="L70" s="111"/>
      <c r="M70" s="111"/>
      <c r="N70" s="111"/>
      <c r="O70" s="111"/>
      <c r="P70" s="111"/>
      <c r="Q70" s="139"/>
      <c r="R70" s="191"/>
      <c r="S70" s="191"/>
      <c r="T70" s="191"/>
      <c r="U70" s="192"/>
      <c r="V70" s="193"/>
      <c r="W70" s="194"/>
      <c r="X70" s="117"/>
      <c r="Y70" s="111"/>
      <c r="Z70" s="111"/>
    </row>
    <row r="71" spans="1:26">
      <c r="A71" s="111"/>
      <c r="B71" s="111"/>
      <c r="C71" s="111"/>
      <c r="D71" s="111"/>
      <c r="E71" s="111"/>
      <c r="F71" s="111"/>
      <c r="G71" s="111"/>
      <c r="H71" s="111"/>
      <c r="I71" s="111"/>
      <c r="J71" s="111"/>
      <c r="K71" s="111"/>
      <c r="L71" s="111"/>
      <c r="M71" s="111"/>
      <c r="N71" s="111"/>
      <c r="O71" s="111"/>
      <c r="P71" s="111"/>
      <c r="Q71" s="139"/>
      <c r="R71" s="191"/>
      <c r="S71" s="191"/>
      <c r="T71" s="191"/>
      <c r="U71" s="192"/>
      <c r="V71" s="193"/>
      <c r="W71" s="194"/>
      <c r="X71" s="117"/>
      <c r="Y71" s="111"/>
      <c r="Z71" s="111"/>
    </row>
    <row r="72" spans="1:26">
      <c r="A72" s="111"/>
      <c r="B72" s="111"/>
      <c r="C72" s="111"/>
      <c r="D72" s="111"/>
      <c r="E72" s="111"/>
      <c r="F72" s="111"/>
      <c r="G72" s="111"/>
      <c r="H72" s="111"/>
      <c r="I72" s="111"/>
      <c r="J72" s="111"/>
      <c r="K72" s="111"/>
      <c r="L72" s="111"/>
      <c r="M72" s="111"/>
      <c r="N72" s="111"/>
      <c r="O72" s="111"/>
      <c r="P72" s="111"/>
      <c r="Q72" s="139"/>
      <c r="R72" s="191"/>
      <c r="S72" s="191"/>
      <c r="T72" s="191"/>
      <c r="U72" s="192"/>
      <c r="V72" s="193"/>
      <c r="W72" s="194"/>
      <c r="X72" s="117"/>
      <c r="Y72" s="111"/>
      <c r="Z72" s="111"/>
    </row>
    <row r="73" spans="1:26">
      <c r="A73" s="111"/>
      <c r="B73" s="111"/>
      <c r="C73" s="111"/>
      <c r="D73" s="111"/>
      <c r="E73" s="111"/>
      <c r="F73" s="111"/>
      <c r="G73" s="111"/>
      <c r="H73" s="111"/>
      <c r="I73" s="111"/>
      <c r="J73" s="111"/>
      <c r="K73" s="111"/>
      <c r="L73" s="111"/>
      <c r="M73" s="111"/>
      <c r="N73" s="111"/>
      <c r="O73" s="111"/>
      <c r="P73" s="111"/>
      <c r="Q73" s="139"/>
      <c r="R73" s="191"/>
      <c r="S73" s="191"/>
      <c r="T73" s="191"/>
      <c r="U73" s="192"/>
      <c r="V73" s="193"/>
      <c r="W73" s="194"/>
      <c r="X73" s="117"/>
      <c r="Y73" s="111"/>
      <c r="Z73" s="111"/>
    </row>
    <row r="74" spans="1:26">
      <c r="A74" s="111"/>
      <c r="B74" s="111"/>
      <c r="C74" s="111"/>
      <c r="D74" s="111"/>
      <c r="E74" s="111"/>
      <c r="F74" s="111"/>
      <c r="G74" s="111"/>
      <c r="H74" s="111"/>
      <c r="I74" s="111"/>
      <c r="J74" s="111"/>
      <c r="K74" s="111"/>
      <c r="L74" s="111"/>
      <c r="M74" s="111"/>
      <c r="N74" s="111"/>
      <c r="O74" s="111"/>
      <c r="P74" s="111"/>
      <c r="Q74" s="139"/>
      <c r="R74" s="191"/>
      <c r="S74" s="191"/>
      <c r="T74" s="191"/>
      <c r="U74" s="192"/>
      <c r="V74" s="193"/>
      <c r="W74" s="194"/>
      <c r="X74" s="117"/>
      <c r="Y74" s="111"/>
      <c r="Z74" s="111"/>
    </row>
    <row r="75" spans="1:26">
      <c r="A75" s="111"/>
      <c r="B75" s="111"/>
      <c r="C75" s="111"/>
      <c r="D75" s="111"/>
      <c r="E75" s="111"/>
      <c r="F75" s="111"/>
      <c r="G75" s="111"/>
      <c r="H75" s="111"/>
      <c r="I75" s="111"/>
      <c r="J75" s="111"/>
      <c r="K75" s="111"/>
      <c r="L75" s="111"/>
      <c r="M75" s="111"/>
      <c r="N75" s="111"/>
      <c r="O75" s="111"/>
      <c r="P75" s="111"/>
      <c r="Q75" s="139"/>
      <c r="R75" s="191"/>
      <c r="S75" s="191"/>
      <c r="T75" s="191"/>
      <c r="U75" s="192"/>
      <c r="V75" s="193"/>
      <c r="W75" s="194"/>
      <c r="X75" s="117"/>
      <c r="Y75" s="111"/>
      <c r="Z75" s="111"/>
    </row>
    <row r="76" spans="1:26">
      <c r="A76" s="111"/>
      <c r="B76" s="111"/>
      <c r="C76" s="111"/>
      <c r="D76" s="111"/>
      <c r="E76" s="111"/>
      <c r="F76" s="111"/>
      <c r="G76" s="111"/>
      <c r="H76" s="111"/>
      <c r="I76" s="111"/>
      <c r="J76" s="111"/>
      <c r="K76" s="111"/>
      <c r="L76" s="111"/>
      <c r="M76" s="111"/>
      <c r="N76" s="111"/>
      <c r="O76" s="111"/>
      <c r="P76" s="111"/>
      <c r="Q76" s="139"/>
      <c r="R76" s="191"/>
      <c r="S76" s="191"/>
      <c r="T76" s="191"/>
      <c r="U76" s="192"/>
      <c r="V76" s="193"/>
      <c r="W76" s="194"/>
      <c r="X76" s="117"/>
      <c r="Y76" s="111"/>
      <c r="Z76" s="111"/>
    </row>
    <row r="77" spans="1:26">
      <c r="A77" s="111"/>
      <c r="B77" s="111"/>
      <c r="C77" s="111"/>
      <c r="D77" s="111"/>
      <c r="E77" s="111"/>
      <c r="F77" s="111"/>
      <c r="G77" s="111"/>
      <c r="H77" s="111"/>
      <c r="I77" s="111"/>
      <c r="J77" s="111"/>
      <c r="K77" s="111"/>
      <c r="L77" s="111"/>
      <c r="M77" s="111"/>
      <c r="N77" s="111"/>
      <c r="O77" s="111"/>
      <c r="P77" s="111"/>
      <c r="Q77" s="139"/>
      <c r="R77" s="191"/>
      <c r="S77" s="191"/>
      <c r="T77" s="191"/>
      <c r="U77" s="192"/>
      <c r="V77" s="193"/>
      <c r="W77" s="194"/>
      <c r="X77" s="117"/>
      <c r="Y77" s="111"/>
      <c r="Z77" s="111"/>
    </row>
    <row r="78" spans="1:26">
      <c r="A78" s="111"/>
      <c r="B78" s="111"/>
      <c r="C78" s="111"/>
      <c r="D78" s="111"/>
      <c r="E78" s="111"/>
      <c r="F78" s="111"/>
      <c r="G78" s="111"/>
      <c r="H78" s="111"/>
      <c r="I78" s="111"/>
      <c r="J78" s="111"/>
      <c r="K78" s="111"/>
      <c r="L78" s="111"/>
      <c r="M78" s="111"/>
      <c r="N78" s="111"/>
      <c r="O78" s="111"/>
      <c r="P78" s="111"/>
      <c r="Q78" s="139"/>
      <c r="R78" s="191"/>
      <c r="S78" s="191"/>
      <c r="T78" s="191"/>
      <c r="U78" s="192"/>
      <c r="V78" s="193"/>
      <c r="W78" s="194"/>
      <c r="X78" s="117"/>
      <c r="Y78" s="111"/>
      <c r="Z78" s="111"/>
    </row>
    <row r="79" spans="1:26">
      <c r="A79" s="111"/>
      <c r="B79" s="111"/>
      <c r="C79" s="111"/>
      <c r="D79" s="111"/>
      <c r="E79" s="111"/>
      <c r="F79" s="111"/>
      <c r="G79" s="111"/>
      <c r="H79" s="111"/>
      <c r="I79" s="111"/>
      <c r="J79" s="111"/>
      <c r="K79" s="111"/>
      <c r="L79" s="111"/>
      <c r="M79" s="111"/>
      <c r="N79" s="111"/>
      <c r="O79" s="111"/>
      <c r="P79" s="111"/>
      <c r="Q79" s="139"/>
      <c r="R79" s="191"/>
      <c r="S79" s="191"/>
      <c r="T79" s="191"/>
      <c r="U79" s="192"/>
      <c r="V79" s="193"/>
      <c r="W79" s="194"/>
      <c r="X79" s="117"/>
      <c r="Y79" s="111"/>
      <c r="Z79" s="111"/>
    </row>
    <row r="80" spans="1:26">
      <c r="A80" s="111"/>
      <c r="B80" s="111"/>
      <c r="C80" s="111"/>
      <c r="D80" s="111"/>
      <c r="E80" s="111"/>
      <c r="F80" s="111"/>
      <c r="G80" s="111"/>
      <c r="H80" s="111"/>
      <c r="I80" s="111"/>
      <c r="J80" s="111"/>
      <c r="K80" s="111"/>
      <c r="L80" s="111"/>
      <c r="M80" s="111"/>
      <c r="N80" s="111"/>
      <c r="O80" s="111"/>
      <c r="P80" s="111"/>
      <c r="Q80" s="139"/>
      <c r="R80" s="191"/>
      <c r="S80" s="191"/>
      <c r="T80" s="191"/>
      <c r="U80" s="192"/>
      <c r="V80" s="193"/>
      <c r="W80" s="194"/>
      <c r="X80" s="117"/>
      <c r="Y80" s="111"/>
      <c r="Z80" s="111"/>
    </row>
    <row r="81" spans="1:26">
      <c r="A81" s="111"/>
      <c r="B81" s="111"/>
      <c r="C81" s="111"/>
      <c r="D81" s="111"/>
      <c r="E81" s="111"/>
      <c r="F81" s="111"/>
      <c r="G81" s="111"/>
      <c r="H81" s="111"/>
      <c r="I81" s="111"/>
      <c r="J81" s="111"/>
      <c r="K81" s="111"/>
      <c r="L81" s="111"/>
      <c r="M81" s="111"/>
      <c r="N81" s="111"/>
      <c r="O81" s="111"/>
      <c r="P81" s="111"/>
      <c r="Q81" s="139"/>
      <c r="R81" s="191"/>
      <c r="S81" s="191"/>
      <c r="T81" s="191"/>
      <c r="U81" s="192"/>
      <c r="V81" s="193"/>
      <c r="W81" s="194"/>
      <c r="X81" s="117"/>
      <c r="Y81" s="111"/>
      <c r="Z81" s="111"/>
    </row>
    <row r="82" spans="1:26">
      <c r="A82" s="111"/>
      <c r="B82" s="111"/>
      <c r="C82" s="111"/>
      <c r="D82" s="111"/>
      <c r="E82" s="111"/>
      <c r="F82" s="111"/>
      <c r="G82" s="111"/>
      <c r="H82" s="111"/>
      <c r="I82" s="111"/>
      <c r="J82" s="111"/>
      <c r="K82" s="111"/>
      <c r="L82" s="111"/>
      <c r="M82" s="111"/>
      <c r="N82" s="111"/>
      <c r="O82" s="111"/>
      <c r="P82" s="111"/>
      <c r="Q82" s="139"/>
      <c r="R82" s="191"/>
      <c r="S82" s="191"/>
      <c r="T82" s="191"/>
      <c r="U82" s="192"/>
      <c r="V82" s="193"/>
      <c r="W82" s="194"/>
      <c r="X82" s="117"/>
      <c r="Y82" s="111"/>
      <c r="Z82" s="111"/>
    </row>
    <row r="83" spans="1:26">
      <c r="A83" s="111"/>
      <c r="B83" s="111"/>
      <c r="C83" s="111"/>
      <c r="D83" s="111"/>
      <c r="E83" s="111"/>
      <c r="F83" s="111"/>
      <c r="G83" s="111"/>
      <c r="H83" s="111"/>
      <c r="I83" s="111"/>
      <c r="J83" s="111"/>
      <c r="K83" s="111"/>
      <c r="L83" s="111"/>
      <c r="M83" s="111"/>
      <c r="N83" s="111"/>
      <c r="O83" s="111"/>
      <c r="P83" s="111"/>
      <c r="Q83" s="139"/>
      <c r="R83" s="191"/>
      <c r="S83" s="191"/>
      <c r="T83" s="191"/>
      <c r="U83" s="192"/>
      <c r="V83" s="193"/>
      <c r="W83" s="194"/>
      <c r="X83" s="117"/>
      <c r="Y83" s="111"/>
      <c r="Z83" s="111"/>
    </row>
    <row r="84" spans="1:26">
      <c r="A84" s="111"/>
      <c r="B84" s="111"/>
      <c r="C84" s="111"/>
      <c r="D84" s="111"/>
      <c r="E84" s="111"/>
      <c r="F84" s="111"/>
      <c r="G84" s="111"/>
      <c r="H84" s="111"/>
      <c r="I84" s="111"/>
      <c r="J84" s="111"/>
      <c r="K84" s="111"/>
      <c r="L84" s="111"/>
      <c r="M84" s="111"/>
      <c r="N84" s="111"/>
      <c r="O84" s="111"/>
      <c r="P84" s="111"/>
      <c r="Q84" s="139"/>
      <c r="R84" s="191"/>
      <c r="S84" s="191"/>
      <c r="T84" s="191"/>
      <c r="U84" s="192"/>
      <c r="V84" s="193"/>
      <c r="W84" s="194"/>
      <c r="X84" s="117"/>
      <c r="Y84" s="111"/>
      <c r="Z84" s="111"/>
    </row>
    <row r="85" spans="1:26">
      <c r="A85" s="111"/>
      <c r="B85" s="111"/>
      <c r="C85" s="111"/>
      <c r="D85" s="111"/>
      <c r="E85" s="111"/>
      <c r="F85" s="111"/>
      <c r="G85" s="111"/>
      <c r="H85" s="111"/>
      <c r="I85" s="111"/>
      <c r="J85" s="111"/>
      <c r="K85" s="111"/>
      <c r="L85" s="111"/>
      <c r="M85" s="111"/>
      <c r="N85" s="111"/>
      <c r="O85" s="111"/>
      <c r="P85" s="111"/>
      <c r="Q85" s="139"/>
      <c r="R85" s="191"/>
      <c r="S85" s="191"/>
      <c r="T85" s="191"/>
      <c r="U85" s="192"/>
      <c r="V85" s="193"/>
      <c r="W85" s="194"/>
      <c r="X85" s="117"/>
      <c r="Y85" s="111"/>
      <c r="Z85" s="111"/>
    </row>
    <row r="86" spans="1:26">
      <c r="A86" s="111"/>
      <c r="B86" s="111"/>
      <c r="C86" s="111"/>
      <c r="D86" s="111"/>
      <c r="E86" s="111"/>
      <c r="F86" s="111"/>
      <c r="G86" s="111"/>
      <c r="H86" s="111"/>
      <c r="I86" s="111"/>
      <c r="J86" s="111"/>
      <c r="K86" s="111"/>
      <c r="L86" s="111"/>
      <c r="M86" s="111"/>
      <c r="N86" s="111"/>
      <c r="O86" s="111"/>
      <c r="P86" s="111"/>
      <c r="Q86" s="139"/>
      <c r="R86" s="191"/>
      <c r="S86" s="191"/>
      <c r="T86" s="191"/>
      <c r="U86" s="192"/>
      <c r="V86" s="193"/>
      <c r="W86" s="194"/>
      <c r="X86" s="117"/>
      <c r="Y86" s="111"/>
      <c r="Z86" s="111"/>
    </row>
    <row r="87" spans="1:26">
      <c r="A87" s="111"/>
      <c r="B87" s="111"/>
      <c r="C87" s="111"/>
      <c r="D87" s="111"/>
      <c r="E87" s="111"/>
      <c r="F87" s="111"/>
      <c r="G87" s="111"/>
      <c r="H87" s="111"/>
      <c r="I87" s="111"/>
      <c r="J87" s="111"/>
      <c r="K87" s="111"/>
      <c r="L87" s="111"/>
      <c r="M87" s="111"/>
      <c r="N87" s="111"/>
      <c r="O87" s="111"/>
      <c r="P87" s="111"/>
      <c r="Q87" s="139"/>
      <c r="R87" s="191"/>
      <c r="S87" s="191"/>
      <c r="T87" s="191"/>
      <c r="U87" s="192"/>
      <c r="V87" s="193"/>
      <c r="W87" s="194"/>
      <c r="X87" s="117"/>
      <c r="Y87" s="111"/>
      <c r="Z87" s="111"/>
    </row>
    <row r="88" spans="1:26">
      <c r="A88" s="111"/>
      <c r="B88" s="111"/>
      <c r="C88" s="111"/>
      <c r="D88" s="111"/>
      <c r="E88" s="111"/>
      <c r="F88" s="111"/>
      <c r="G88" s="111"/>
      <c r="H88" s="111"/>
      <c r="I88" s="111"/>
      <c r="J88" s="111"/>
      <c r="K88" s="111"/>
      <c r="L88" s="111"/>
      <c r="M88" s="111"/>
      <c r="N88" s="111"/>
      <c r="O88" s="111"/>
      <c r="P88" s="111"/>
      <c r="Q88" s="139"/>
      <c r="R88" s="191"/>
      <c r="S88" s="191"/>
      <c r="T88" s="191"/>
      <c r="U88" s="192"/>
      <c r="V88" s="193"/>
      <c r="W88" s="194"/>
      <c r="X88" s="117"/>
      <c r="Y88" s="111"/>
      <c r="Z88" s="111"/>
    </row>
    <row r="89" spans="1:26">
      <c r="A89" s="111"/>
      <c r="B89" s="111"/>
      <c r="C89" s="111"/>
      <c r="D89" s="111"/>
      <c r="E89" s="111"/>
      <c r="F89" s="111"/>
      <c r="G89" s="111"/>
      <c r="H89" s="111"/>
      <c r="I89" s="111"/>
      <c r="J89" s="111"/>
      <c r="K89" s="111"/>
      <c r="L89" s="111"/>
      <c r="M89" s="111"/>
      <c r="N89" s="111"/>
      <c r="O89" s="111"/>
      <c r="P89" s="111"/>
      <c r="Q89" s="139"/>
      <c r="R89" s="191"/>
      <c r="S89" s="191"/>
      <c r="T89" s="191"/>
      <c r="U89" s="192"/>
      <c r="V89" s="193"/>
      <c r="W89" s="194"/>
      <c r="X89" s="117"/>
      <c r="Y89" s="111"/>
      <c r="Z89" s="111"/>
    </row>
    <row r="90" spans="1:26">
      <c r="A90" s="111"/>
      <c r="B90" s="111"/>
      <c r="C90" s="111"/>
      <c r="D90" s="111"/>
      <c r="E90" s="111"/>
      <c r="F90" s="111"/>
      <c r="G90" s="111"/>
      <c r="H90" s="111"/>
      <c r="I90" s="111"/>
      <c r="J90" s="111"/>
      <c r="K90" s="111"/>
      <c r="L90" s="111"/>
      <c r="M90" s="111"/>
      <c r="N90" s="111"/>
      <c r="O90" s="111"/>
      <c r="P90" s="111"/>
      <c r="Q90" s="139"/>
      <c r="R90" s="191"/>
      <c r="S90" s="191"/>
      <c r="T90" s="191"/>
      <c r="U90" s="192"/>
      <c r="V90" s="193"/>
      <c r="W90" s="194"/>
      <c r="X90" s="117"/>
      <c r="Y90" s="111"/>
      <c r="Z90" s="111"/>
    </row>
    <row r="91" spans="1:26">
      <c r="A91" s="111"/>
      <c r="B91" s="111"/>
      <c r="C91" s="111"/>
      <c r="D91" s="111"/>
      <c r="E91" s="111"/>
      <c r="F91" s="111"/>
      <c r="G91" s="111"/>
      <c r="H91" s="111"/>
      <c r="I91" s="111"/>
      <c r="J91" s="111"/>
      <c r="K91" s="111"/>
      <c r="L91" s="111"/>
      <c r="M91" s="111"/>
      <c r="N91" s="111"/>
      <c r="O91" s="111"/>
      <c r="P91" s="111"/>
      <c r="Q91" s="139"/>
      <c r="R91" s="191"/>
      <c r="S91" s="191"/>
      <c r="T91" s="191"/>
      <c r="U91" s="192"/>
      <c r="V91" s="193"/>
      <c r="W91" s="194"/>
      <c r="X91" s="117"/>
      <c r="Y91" s="111"/>
      <c r="Z91" s="111"/>
    </row>
    <row r="92" spans="1:26">
      <c r="A92" s="111"/>
      <c r="B92" s="111"/>
      <c r="C92" s="111"/>
      <c r="D92" s="111"/>
      <c r="E92" s="111"/>
      <c r="F92" s="111"/>
      <c r="G92" s="111"/>
      <c r="H92" s="111"/>
      <c r="I92" s="111"/>
      <c r="J92" s="111"/>
      <c r="K92" s="111"/>
      <c r="L92" s="111"/>
      <c r="M92" s="111"/>
      <c r="N92" s="111"/>
      <c r="O92" s="111"/>
      <c r="P92" s="111"/>
      <c r="Q92" s="139"/>
      <c r="R92" s="191"/>
      <c r="S92" s="191"/>
      <c r="T92" s="191"/>
      <c r="U92" s="192"/>
      <c r="V92" s="193"/>
      <c r="W92" s="194"/>
      <c r="X92" s="117"/>
      <c r="Y92" s="111"/>
      <c r="Z92" s="111"/>
    </row>
    <row r="93" spans="1:26">
      <c r="A93" s="111"/>
      <c r="B93" s="111"/>
      <c r="C93" s="111"/>
      <c r="D93" s="111"/>
      <c r="E93" s="111"/>
      <c r="F93" s="111"/>
      <c r="G93" s="111"/>
      <c r="H93" s="111"/>
      <c r="I93" s="111"/>
      <c r="J93" s="111"/>
      <c r="K93" s="111"/>
      <c r="L93" s="111"/>
      <c r="M93" s="111"/>
      <c r="N93" s="111"/>
      <c r="O93" s="111"/>
      <c r="P93" s="111"/>
      <c r="Q93" s="139"/>
      <c r="R93" s="191"/>
      <c r="S93" s="191"/>
      <c r="T93" s="191"/>
      <c r="U93" s="192"/>
      <c r="V93" s="193"/>
      <c r="W93" s="194"/>
      <c r="X93" s="117"/>
      <c r="Y93" s="111"/>
      <c r="Z93" s="111"/>
    </row>
  </sheetData>
  <hyperlinks>
    <hyperlink ref="F2" r:id="rId1" xr:uid="{00000000-0004-0000-0F00-000000000000}"/>
    <hyperlink ref="F3" r:id="rId2" xr:uid="{00000000-0004-0000-0F00-000001000000}"/>
    <hyperlink ref="F4" r:id="rId3" xr:uid="{00000000-0004-0000-0F00-000002000000}"/>
    <hyperlink ref="F5" r:id="rId4" xr:uid="{00000000-0004-0000-0F00-000003000000}"/>
    <hyperlink ref="F6" r:id="rId5" xr:uid="{00000000-0004-0000-0F00-000004000000}"/>
    <hyperlink ref="F7" r:id="rId6" xr:uid="{00000000-0004-0000-0F00-000005000000}"/>
    <hyperlink ref="F8" r:id="rId7" xr:uid="{00000000-0004-0000-0F00-000006000000}"/>
    <hyperlink ref="F9" r:id="rId8" xr:uid="{00000000-0004-0000-0F00-000007000000}"/>
    <hyperlink ref="F10" r:id="rId9" xr:uid="{00000000-0004-0000-0F00-000008000000}"/>
    <hyperlink ref="F11" r:id="rId10" xr:uid="{00000000-0004-0000-0F00-000009000000}"/>
    <hyperlink ref="F12" r:id="rId11" xr:uid="{00000000-0004-0000-0F00-00000A000000}"/>
    <hyperlink ref="F13" r:id="rId12" xr:uid="{00000000-0004-0000-0F00-00000B000000}"/>
    <hyperlink ref="F14" r:id="rId13" xr:uid="{00000000-0004-0000-0F00-00000C000000}"/>
    <hyperlink ref="F15" r:id="rId14" xr:uid="{00000000-0004-0000-0F00-00000D000000}"/>
    <hyperlink ref="F16" r:id="rId15" xr:uid="{00000000-0004-0000-0F00-00000E000000}"/>
    <hyperlink ref="F17" r:id="rId16" xr:uid="{00000000-0004-0000-0F00-00000F000000}"/>
    <hyperlink ref="F18" r:id="rId17" xr:uid="{00000000-0004-0000-0F00-000010000000}"/>
    <hyperlink ref="F19" r:id="rId18" xr:uid="{00000000-0004-0000-0F00-000011000000}"/>
    <hyperlink ref="F20" r:id="rId19" xr:uid="{00000000-0004-0000-0F00-000012000000}"/>
    <hyperlink ref="F21" r:id="rId20" xr:uid="{00000000-0004-0000-0F00-000013000000}"/>
  </hyperlinks>
  <pageMargins left="0.7" right="0.7" top="0.75" bottom="0.75" header="0.3" footer="0.3"/>
  <drawing r:id="rId21"/>
  <legacyDrawing r:id="rId22"/>
  <extLst>
    <ext xmlns:x14="http://schemas.microsoft.com/office/spreadsheetml/2009/9/main" uri="{CCE6A557-97BC-4b89-ADB6-D9C93CAAB3DF}">
      <x14:dataValidations xmlns:xm="http://schemas.microsoft.com/office/excel/2006/main" count="3">
        <x14:dataValidation type="list" allowBlank="1" xr:uid="{00000000-0002-0000-0F00-000000000000}">
          <x14:formula1>
            <xm:f>Fields!$F$2:$F$8</xm:f>
          </x14:formula1>
          <xm:sqref>C2:C21</xm:sqref>
        </x14:dataValidation>
        <x14:dataValidation type="list" allowBlank="1" xr:uid="{00000000-0002-0000-0F00-000001000000}">
          <x14:formula1>
            <xm:f>Fields!$D$2:$D$10</xm:f>
          </x14:formula1>
          <xm:sqref>B2:B21</xm:sqref>
        </x14:dataValidation>
        <x14:dataValidation type="list" allowBlank="1" xr:uid="{00000000-0002-0000-0F00-000002000000}">
          <x14:formula1>
            <xm:f>Fields!$A$2:$A$8</xm:f>
          </x14:formula1>
          <xm:sqref>D2:D21</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Report-for-RM</vt:lpstr>
      <vt:lpstr>Final</vt:lpstr>
      <vt:lpstr>Pivot</vt:lpstr>
      <vt:lpstr>Charter</vt:lpstr>
      <vt:lpstr>Fields</vt:lpstr>
      <vt:lpstr>CourseName</vt:lpstr>
      <vt:lpstr>Keywords</vt:lpstr>
      <vt:lpstr>Instructions</vt:lpstr>
      <vt:lpstr>MasterList</vt:lpstr>
      <vt:lpstr>HT</vt:lpstr>
      <vt:lpstr>JB</vt:lpstr>
      <vt:lpstr>RKT</vt:lpstr>
      <vt:lpstr>YP</vt:lpstr>
      <vt:lpstr>ND</vt:lpstr>
      <vt:lpstr>VK</vt:lpstr>
      <vt:lpstr>HM</vt:lpstr>
      <vt:lpstr>US</vt:lpstr>
      <vt:lpstr>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Hari Thapliyal</cp:lastModifiedBy>
  <dcterms:modified xsi:type="dcterms:W3CDTF">2017-10-10T07:13:47Z</dcterms:modified>
</cp:coreProperties>
</file>